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M:\Administration\Stats\2022\"/>
    </mc:Choice>
  </mc:AlternateContent>
  <xr:revisionPtr revIDLastSave="0" documentId="13_ncr:1_{AF861283-2BFD-4059-BDF1-71ECA9A73058}" xr6:coauthVersionLast="47" xr6:coauthVersionMax="47" xr10:uidLastSave="{00000000-0000-0000-0000-000000000000}"/>
  <bookViews>
    <workbookView xWindow="28680" yWindow="-120" windowWidth="16440" windowHeight="28440" tabRatio="764" firstSheet="14" activeTab="20" xr2:uid="{00000000-000D-0000-FFFF-FFFF00000000}"/>
  </bookViews>
  <sheets>
    <sheet name="City Comparison" sheetId="1" r:id="rId1"/>
    <sheet name="Total Pax" sheetId="3" r:id="rId2"/>
    <sheet name="Total Enplaned" sheetId="4" r:id="rId3"/>
    <sheet name="Rev Enplaned" sheetId="5" r:id="rId4"/>
    <sheet name="Non-Rev" sheetId="25" r:id="rId5"/>
    <sheet name="Deplaned Pax" sheetId="7" r:id="rId6"/>
    <sheet name="Rev Deplaned" sheetId="8" r:id="rId7"/>
    <sheet name="Monthly LF" sheetId="9" r:id="rId8"/>
    <sheet name="LF by Airline" sheetId="10" r:id="rId9"/>
    <sheet name="Monthly Seats" sheetId="11" r:id="rId10"/>
    <sheet name="Monthly Departures" sheetId="12" r:id="rId11"/>
    <sheet name="Air Carrier Market Share" sheetId="13" r:id="rId12"/>
    <sheet name="Tower Operations" sheetId="14" r:id="rId13"/>
    <sheet name="Car Rental" sheetId="15" r:id="rId14"/>
    <sheet name="Parking" sheetId="16" r:id="rId15"/>
    <sheet name="Charters" sheetId="17" r:id="rId16"/>
    <sheet name="US Customs" sheetId="2" r:id="rId17"/>
    <sheet name="Cargo" sheetId="20" r:id="rId18"/>
    <sheet name="Concessions" sheetId="21" r:id="rId19"/>
    <sheet name="Gal Comparison" sheetId="26" r:id="rId20"/>
    <sheet name="Fuel Fees" sheetId="23" r:id="rId21"/>
  </sheets>
  <externalReferences>
    <externalReference r:id="rId22"/>
    <externalReference r:id="rId23"/>
  </externalReferences>
  <definedNames>
    <definedName name="_xlnm.Print_Area" localSheetId="11">'Air Carrier Market Share'!$A$1:$H$30</definedName>
    <definedName name="_xlnm.Print_Area" localSheetId="13">'Car Rental'!$B$1:$H$36</definedName>
    <definedName name="_xlnm.Print_Area" localSheetId="17">Cargo!$A$1:$I$34</definedName>
    <definedName name="_xlnm.Print_Area" localSheetId="15">Charters!$A$1:$G$21</definedName>
    <definedName name="_xlnm.Print_Area" localSheetId="0">'City Comparison'!$A$1:$G$37</definedName>
    <definedName name="_xlnm.Print_Area" localSheetId="18">Concessions!$A$1:$I$46</definedName>
    <definedName name="_xlnm.Print_Area" localSheetId="5">'Deplaned Pax'!$A$1:$I$37</definedName>
    <definedName name="_xlnm.Print_Area" localSheetId="20">'Fuel Fees'!$A$1:$N$19</definedName>
    <definedName name="_xlnm.Print_Area" localSheetId="19">'Gal Comparison'!$A$1:$S$17</definedName>
    <definedName name="_xlnm.Print_Area" localSheetId="8">'LF by Airline'!$A$1:$J$15</definedName>
    <definedName name="_xlnm.Print_Area" localSheetId="10">'Monthly Departures'!$B$1:$J$41</definedName>
    <definedName name="_xlnm.Print_Area" localSheetId="7">'Monthly LF'!$B$1:$I$40</definedName>
    <definedName name="_xlnm.Print_Area" localSheetId="9">'Monthly Seats'!$A$1:$I$36</definedName>
    <definedName name="_xlnm.Print_Area" localSheetId="4">'Non-Rev'!$A$1:$K$37</definedName>
    <definedName name="_xlnm.Print_Area" localSheetId="14">Parking!$B$1:$J$35</definedName>
    <definedName name="_xlnm.Print_Area" localSheetId="6">'Rev Deplaned'!$A$1:$I$36</definedName>
    <definedName name="_xlnm.Print_Area" localSheetId="3">'Rev Enplaned'!$A$1:$I$40</definedName>
    <definedName name="_xlnm.Print_Area" localSheetId="1">'Total Pax'!$A$1:$I$42</definedName>
    <definedName name="_xlnm.Print_Area" localSheetId="12">'Tower Operations'!$A$1:$J$58</definedName>
    <definedName name="_xlnm.Print_Area" localSheetId="16">'US Customs'!$A$1:$I$36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1" l="1"/>
  <c r="F31" i="20" l="1"/>
  <c r="E31" i="20"/>
  <c r="H30" i="16" l="1"/>
  <c r="G34" i="15" l="1"/>
  <c r="I17" i="14" l="1"/>
  <c r="G17" i="14"/>
  <c r="E17" i="14"/>
  <c r="E16" i="14"/>
  <c r="I40" i="12" l="1"/>
  <c r="H37" i="12"/>
  <c r="H35" i="11"/>
  <c r="G32" i="11"/>
  <c r="D8" i="10" l="1"/>
  <c r="C8" i="10" l="1"/>
  <c r="G35" i="9"/>
  <c r="N30" i="9"/>
  <c r="L30" i="9"/>
  <c r="H34" i="8" l="1"/>
  <c r="H36" i="7"/>
  <c r="J33" i="25"/>
  <c r="H39" i="5"/>
  <c r="H34" i="4"/>
  <c r="H41" i="3"/>
  <c r="U14" i="14" l="1"/>
  <c r="U15" i="14"/>
  <c r="U16" i="14"/>
  <c r="F30" i="20" l="1"/>
  <c r="E30" i="20"/>
  <c r="G30" i="2"/>
  <c r="I16" i="14" l="1"/>
  <c r="H36" i="12" l="1"/>
  <c r="G31" i="11"/>
  <c r="N29" i="9" l="1"/>
  <c r="G34" i="9" s="1"/>
  <c r="G27" i="2" l="1"/>
  <c r="G28" i="2"/>
  <c r="G29" i="2"/>
  <c r="F29" i="20" l="1"/>
  <c r="E29" i="20"/>
  <c r="H35" i="12" l="1"/>
  <c r="G30" i="11"/>
  <c r="F8" i="10"/>
  <c r="E15" i="14" l="1"/>
  <c r="I15" i="14" s="1"/>
  <c r="N28" i="9" l="1"/>
  <c r="G33" i="9" s="1"/>
  <c r="O26" i="21" l="1"/>
  <c r="O27" i="21"/>
  <c r="O28" i="21"/>
  <c r="O29" i="21"/>
  <c r="O30" i="21"/>
  <c r="O31" i="21"/>
  <c r="O32" i="21"/>
  <c r="O33" i="21"/>
  <c r="O34" i="21"/>
  <c r="O35" i="21"/>
  <c r="O36" i="21"/>
  <c r="O37" i="21"/>
  <c r="K38" i="21"/>
  <c r="N38" i="21"/>
  <c r="M38" i="21"/>
  <c r="O38" i="21" s="1"/>
  <c r="L38" i="21"/>
  <c r="G28" i="21" l="1"/>
  <c r="E14" i="14" l="1"/>
  <c r="I14" i="14" s="1"/>
  <c r="H34" i="12" l="1"/>
  <c r="H33" i="12" l="1"/>
  <c r="G29" i="11"/>
  <c r="N27" i="9" l="1"/>
  <c r="G32" i="9" s="1"/>
  <c r="I28" i="25" l="1"/>
  <c r="E24" i="25"/>
  <c r="E25" i="25"/>
  <c r="E26" i="25"/>
  <c r="E27" i="25"/>
  <c r="E28" i="25"/>
  <c r="E29" i="25"/>
  <c r="E30" i="25"/>
  <c r="E31" i="25"/>
  <c r="E32" i="25"/>
  <c r="E33" i="25"/>
  <c r="E34" i="25"/>
  <c r="E35" i="25"/>
  <c r="I24" i="25"/>
  <c r="I25" i="25"/>
  <c r="I27" i="25"/>
  <c r="I31" i="25"/>
  <c r="J31" i="25" s="1"/>
  <c r="I32" i="25"/>
  <c r="J32" i="25" s="1"/>
  <c r="I33" i="25"/>
  <c r="I35" i="25"/>
  <c r="I26" i="25" l="1"/>
  <c r="I34" i="25"/>
  <c r="I29" i="25"/>
  <c r="I30" i="25"/>
  <c r="J30" i="25" s="1"/>
  <c r="I13" i="14" l="1"/>
  <c r="N26" i="9" l="1"/>
  <c r="G31" i="9" s="1"/>
  <c r="G25" i="2" l="1"/>
  <c r="G26" i="2"/>
  <c r="N25" i="9" l="1"/>
  <c r="G30" i="9" s="1"/>
  <c r="J25" i="16" l="1"/>
  <c r="N24" i="9" l="1"/>
  <c r="G29" i="9" s="1"/>
  <c r="G24" i="2" l="1"/>
  <c r="I10" i="14" l="1"/>
  <c r="N23" i="9" l="1"/>
  <c r="G28" i="9" s="1"/>
  <c r="F23" i="2"/>
  <c r="G23" i="2" s="1"/>
  <c r="I9" i="14" l="1"/>
  <c r="I8" i="14"/>
  <c r="N22" i="9" l="1"/>
  <c r="G27" i="9" s="1"/>
  <c r="F22" i="2" l="1"/>
  <c r="G22" i="2" s="1"/>
  <c r="G28" i="20" l="1"/>
  <c r="G29" i="20"/>
  <c r="G30" i="20"/>
  <c r="G31" i="20"/>
  <c r="G32" i="20"/>
  <c r="G33" i="20"/>
  <c r="H18" i="14" l="1"/>
  <c r="H19" i="14"/>
  <c r="G18" i="14"/>
  <c r="G19" i="14"/>
  <c r="F19" i="14"/>
  <c r="F18" i="14"/>
  <c r="I11" i="14" l="1"/>
  <c r="I12" i="14"/>
  <c r="D20" i="14"/>
  <c r="C20" i="14"/>
  <c r="H32" i="12"/>
  <c r="H31" i="12"/>
  <c r="G28" i="11"/>
  <c r="G27" i="11"/>
  <c r="G26" i="11"/>
  <c r="G25" i="11"/>
  <c r="G24" i="11"/>
  <c r="H29" i="12" l="1"/>
  <c r="C35" i="11"/>
  <c r="H7" i="10"/>
  <c r="D35" i="11"/>
  <c r="E35" i="11"/>
  <c r="E40" i="12"/>
  <c r="D40" i="12"/>
  <c r="H6" i="10"/>
  <c r="H5" i="10"/>
  <c r="F40" i="12"/>
  <c r="N18" i="9" l="1"/>
  <c r="D37" i="9" s="1"/>
  <c r="N17" i="9"/>
  <c r="D36" i="9" s="1"/>
  <c r="N16" i="9"/>
  <c r="D35" i="9" s="1"/>
  <c r="N13" i="9"/>
  <c r="D32" i="9" s="1"/>
  <c r="T13" i="9" l="1"/>
  <c r="F32" i="9" s="1"/>
  <c r="Q11" i="9"/>
  <c r="E30" i="9" s="1"/>
  <c r="Q15" i="9"/>
  <c r="E34" i="9" s="1"/>
  <c r="N15" i="9"/>
  <c r="D34" i="9" s="1"/>
  <c r="T17" i="9"/>
  <c r="F36" i="9" s="1"/>
  <c r="N8" i="9"/>
  <c r="D27" i="9" s="1"/>
  <c r="N12" i="9"/>
  <c r="D31" i="9" s="1"/>
  <c r="N7" i="9"/>
  <c r="D26" i="9" s="1"/>
  <c r="N9" i="9"/>
  <c r="D28" i="9" s="1"/>
  <c r="N11" i="9"/>
  <c r="D30" i="9" s="1"/>
  <c r="N10" i="9"/>
  <c r="D29" i="9" s="1"/>
  <c r="T12" i="9"/>
  <c r="F31" i="9" s="1"/>
  <c r="T16" i="9"/>
  <c r="F35" i="9" s="1"/>
  <c r="C36" i="7"/>
  <c r="N14" i="9"/>
  <c r="D33" i="9" s="1"/>
  <c r="Q7" i="9"/>
  <c r="E26" i="9" s="1"/>
  <c r="C34" i="8"/>
  <c r="Q14" i="9"/>
  <c r="E33" i="9" s="1"/>
  <c r="Q9" i="9"/>
  <c r="E28" i="9" s="1"/>
  <c r="Q17" i="9"/>
  <c r="E36" i="9" s="1"/>
  <c r="T18" i="9"/>
  <c r="F37" i="9" s="1"/>
  <c r="Q8" i="9"/>
  <c r="E27" i="9" s="1"/>
  <c r="Q18" i="9"/>
  <c r="E37" i="9" s="1"/>
  <c r="Q16" i="9"/>
  <c r="E35" i="9" s="1"/>
  <c r="T14" i="9"/>
  <c r="F33" i="9" s="1"/>
  <c r="Q12" i="9"/>
  <c r="E31" i="9" s="1"/>
  <c r="Q13" i="9"/>
  <c r="E32" i="9" s="1"/>
  <c r="T15" i="9"/>
  <c r="F34" i="9" s="1"/>
  <c r="E36" i="7"/>
  <c r="E34" i="8"/>
  <c r="T10" i="9"/>
  <c r="F29" i="9" s="1"/>
  <c r="T9" i="9"/>
  <c r="F28" i="9" s="1"/>
  <c r="D36" i="7"/>
  <c r="Q10" i="9"/>
  <c r="E29" i="9" s="1"/>
  <c r="D34" i="8"/>
  <c r="T7" i="9"/>
  <c r="F26" i="9" s="1"/>
  <c r="T8" i="9"/>
  <c r="F27" i="9" s="1"/>
  <c r="T11" i="9"/>
  <c r="F30" i="9" s="1"/>
  <c r="D34" i="4" l="1"/>
  <c r="H24" i="4" l="1"/>
  <c r="E34" i="4"/>
  <c r="D39" i="5"/>
  <c r="C41" i="3"/>
  <c r="E41" i="3"/>
  <c r="D41" i="3"/>
  <c r="F34" i="4"/>
  <c r="C39" i="5"/>
  <c r="J32" i="16" l="1"/>
  <c r="J31" i="16" l="1"/>
  <c r="H37" i="9" l="1"/>
  <c r="J30" i="16" l="1"/>
  <c r="G5" i="10" l="1"/>
  <c r="I5" i="10" s="1"/>
  <c r="H36" i="9"/>
  <c r="H35" i="9" l="1"/>
  <c r="F29" i="16" l="1"/>
  <c r="F30" i="16"/>
  <c r="F31" i="16"/>
  <c r="F32" i="16"/>
  <c r="G33" i="16" l="1"/>
  <c r="E33" i="16"/>
  <c r="F33" i="16" s="1"/>
  <c r="F21" i="16"/>
  <c r="F27" i="16"/>
  <c r="F24" i="16"/>
  <c r="J22" i="16"/>
  <c r="F26" i="16"/>
  <c r="F23" i="16"/>
  <c r="F28" i="16"/>
  <c r="F25" i="16"/>
  <c r="F22" i="16"/>
  <c r="C33" i="16"/>
  <c r="J26" i="16"/>
  <c r="J23" i="16"/>
  <c r="J21" i="16"/>
  <c r="J27" i="16"/>
  <c r="J24" i="16"/>
  <c r="D33" i="16"/>
  <c r="J29" i="16" l="1"/>
  <c r="J28" i="16"/>
  <c r="H33" i="16" l="1"/>
  <c r="J33" i="16" s="1"/>
  <c r="I33" i="16"/>
  <c r="H34" i="9" l="1"/>
  <c r="G6" i="10" l="1"/>
  <c r="I6" i="10" s="1"/>
  <c r="H33" i="9"/>
  <c r="G7" i="10" l="1"/>
  <c r="I7" i="10" s="1"/>
  <c r="H32" i="9" l="1"/>
  <c r="E11" i="13" l="1"/>
  <c r="H31" i="9" l="1"/>
  <c r="D11" i="13" l="1"/>
  <c r="E9" i="10" l="1"/>
  <c r="H30" i="9"/>
  <c r="H28" i="20"/>
  <c r="H29" i="20"/>
  <c r="H30" i="20"/>
  <c r="H31" i="20"/>
  <c r="H32" i="20"/>
  <c r="H33" i="20"/>
  <c r="H29" i="9"/>
  <c r="H28" i="9"/>
  <c r="H27" i="9"/>
  <c r="E38" i="21"/>
  <c r="H27" i="11"/>
  <c r="H26" i="9"/>
  <c r="F34" i="2"/>
  <c r="G37" i="21"/>
  <c r="H33" i="8"/>
  <c r="G33" i="15"/>
  <c r="H32" i="8"/>
  <c r="H35" i="7"/>
  <c r="H40" i="3"/>
  <c r="G36" i="21"/>
  <c r="G32" i="15"/>
  <c r="H38" i="3"/>
  <c r="H34" i="7"/>
  <c r="H39" i="3"/>
  <c r="G35" i="21"/>
  <c r="G31" i="15"/>
  <c r="H31" i="8"/>
  <c r="H33" i="7"/>
  <c r="G34" i="21"/>
  <c r="G30" i="15"/>
  <c r="G33" i="21"/>
  <c r="G29" i="15"/>
  <c r="G32" i="21"/>
  <c r="G28" i="15"/>
  <c r="G27" i="15"/>
  <c r="G31" i="21"/>
  <c r="G26" i="15"/>
  <c r="G23" i="15"/>
  <c r="S17" i="26"/>
  <c r="M17" i="26"/>
  <c r="J17" i="26"/>
  <c r="I17" i="26"/>
  <c r="H17" i="26"/>
  <c r="G17" i="26"/>
  <c r="D17" i="26"/>
  <c r="C17" i="26"/>
  <c r="B17" i="26"/>
  <c r="N17" i="26"/>
  <c r="D9" i="10"/>
  <c r="P34" i="26"/>
  <c r="N34" i="26"/>
  <c r="H34" i="26"/>
  <c r="F34" i="26"/>
  <c r="D34" i="26"/>
  <c r="C34" i="26"/>
  <c r="B34" i="26"/>
  <c r="G34" i="26"/>
  <c r="E34" i="26"/>
  <c r="O34" i="26"/>
  <c r="F37" i="1"/>
  <c r="D37" i="1"/>
  <c r="C37" i="1"/>
  <c r="D34" i="2"/>
  <c r="F9" i="10"/>
  <c r="C9" i="10"/>
  <c r="H37" i="3"/>
  <c r="H32" i="7"/>
  <c r="H30" i="8"/>
  <c r="H28" i="4"/>
  <c r="H35" i="3"/>
  <c r="H28" i="8"/>
  <c r="H30" i="7"/>
  <c r="H36" i="3"/>
  <c r="H29" i="8"/>
  <c r="H31" i="7"/>
  <c r="H29" i="7"/>
  <c r="I35" i="12"/>
  <c r="E34" i="2"/>
  <c r="I39" i="12"/>
  <c r="F38" i="21" l="1"/>
  <c r="H9" i="10"/>
  <c r="E19" i="23"/>
  <c r="D19" i="23"/>
  <c r="I34" i="26"/>
  <c r="F17" i="26"/>
  <c r="J34" i="26"/>
  <c r="S34" i="26"/>
  <c r="K34" i="26"/>
  <c r="M34" i="26"/>
  <c r="C19" i="23"/>
  <c r="L34" i="26"/>
  <c r="R34" i="26"/>
  <c r="O17" i="26"/>
  <c r="K19" i="23"/>
  <c r="L17" i="26"/>
  <c r="F19" i="23"/>
  <c r="Q34" i="26"/>
  <c r="P17" i="26"/>
  <c r="H34" i="11"/>
  <c r="H33" i="4"/>
  <c r="H38" i="5"/>
  <c r="I19" i="23"/>
  <c r="L19" i="23"/>
  <c r="H38" i="9"/>
  <c r="G34" i="2"/>
  <c r="I38" i="12"/>
  <c r="H33" i="11"/>
  <c r="H32" i="4"/>
  <c r="H37" i="5"/>
  <c r="G9" i="10"/>
  <c r="I37" i="12"/>
  <c r="H32" i="11"/>
  <c r="H31" i="4"/>
  <c r="H36" i="5"/>
  <c r="R17" i="26"/>
  <c r="J19" i="23"/>
  <c r="I36" i="12"/>
  <c r="H31" i="11"/>
  <c r="F35" i="5"/>
  <c r="H35" i="5"/>
  <c r="H30" i="4"/>
  <c r="H33" i="3"/>
  <c r="H19" i="23"/>
  <c r="M19" i="23"/>
  <c r="B19" i="23"/>
  <c r="G19" i="23"/>
  <c r="E34" i="15"/>
  <c r="S19" i="23"/>
  <c r="Q19" i="23"/>
  <c r="H30" i="11"/>
  <c r="H34" i="5"/>
  <c r="H28" i="5"/>
  <c r="H29" i="4"/>
  <c r="H27" i="7"/>
  <c r="F32" i="5"/>
  <c r="H25" i="8"/>
  <c r="G20" i="14"/>
  <c r="G27" i="21"/>
  <c r="F28" i="5"/>
  <c r="F38" i="5"/>
  <c r="F25" i="7"/>
  <c r="H25" i="7"/>
  <c r="N21" i="9"/>
  <c r="G26" i="9" s="1"/>
  <c r="F26" i="8"/>
  <c r="F33" i="8"/>
  <c r="H29" i="11"/>
  <c r="F35" i="11"/>
  <c r="I34" i="12"/>
  <c r="F35" i="7"/>
  <c r="F33" i="5"/>
  <c r="H33" i="5"/>
  <c r="H29" i="3"/>
  <c r="F30" i="5"/>
  <c r="G22" i="15"/>
  <c r="G25" i="15"/>
  <c r="F32" i="7"/>
  <c r="H26" i="11"/>
  <c r="F27" i="5"/>
  <c r="H22" i="4"/>
  <c r="F29" i="5"/>
  <c r="G40" i="12"/>
  <c r="J29" i="25"/>
  <c r="G24" i="15"/>
  <c r="F34" i="15"/>
  <c r="G34" i="4"/>
  <c r="J28" i="25"/>
  <c r="F34" i="20"/>
  <c r="F31" i="5"/>
  <c r="F32" i="8"/>
  <c r="H26" i="7"/>
  <c r="F20" i="14"/>
  <c r="F27" i="25"/>
  <c r="F34" i="7"/>
  <c r="J25" i="25"/>
  <c r="F26" i="7"/>
  <c r="F25" i="8"/>
  <c r="J27" i="25"/>
  <c r="E20" i="14"/>
  <c r="C34" i="20"/>
  <c r="I29" i="12"/>
  <c r="H27" i="4"/>
  <c r="I33" i="12"/>
  <c r="F27" i="7"/>
  <c r="I30" i="12"/>
  <c r="H30" i="3"/>
  <c r="H28" i="11"/>
  <c r="F30" i="8"/>
  <c r="F22" i="8"/>
  <c r="F33" i="7"/>
  <c r="G26" i="21"/>
  <c r="H26" i="8"/>
  <c r="D34" i="20"/>
  <c r="F25" i="25"/>
  <c r="G34" i="8"/>
  <c r="G39" i="5"/>
  <c r="I28" i="12"/>
  <c r="F31" i="8"/>
  <c r="F37" i="5"/>
  <c r="F23" i="8"/>
  <c r="H24" i="8"/>
  <c r="E34" i="20"/>
  <c r="G41" i="3"/>
  <c r="H20" i="14"/>
  <c r="F28" i="8"/>
  <c r="F24" i="7"/>
  <c r="J26" i="25"/>
  <c r="E37" i="1"/>
  <c r="G29" i="21"/>
  <c r="G30" i="21"/>
  <c r="H32" i="5"/>
  <c r="F26" i="25"/>
  <c r="F28" i="7"/>
  <c r="F29" i="7"/>
  <c r="F34" i="5"/>
  <c r="I32" i="12"/>
  <c r="F24" i="8"/>
  <c r="F36" i="5"/>
  <c r="H23" i="8"/>
  <c r="E39" i="5"/>
  <c r="F39" i="5" s="1"/>
  <c r="H24" i="7"/>
  <c r="D34" i="15"/>
  <c r="K17" i="26"/>
  <c r="H31" i="3"/>
  <c r="H31" i="5"/>
  <c r="F27" i="8"/>
  <c r="F31" i="7"/>
  <c r="H27" i="5"/>
  <c r="H29" i="5"/>
  <c r="F29" i="8"/>
  <c r="C38" i="21"/>
  <c r="H25" i="4"/>
  <c r="H32" i="3"/>
  <c r="F30" i="7"/>
  <c r="H34" i="3"/>
  <c r="Q17" i="26"/>
  <c r="H30" i="12"/>
  <c r="E17" i="26"/>
  <c r="H27" i="8"/>
  <c r="H28" i="12"/>
  <c r="H26" i="4"/>
  <c r="H25" i="11"/>
  <c r="H24" i="11"/>
  <c r="I31" i="12"/>
  <c r="H30" i="5"/>
  <c r="D38" i="21"/>
  <c r="H28" i="7"/>
  <c r="H23" i="11"/>
  <c r="G23" i="11"/>
  <c r="F8" i="13"/>
  <c r="F9" i="13"/>
  <c r="F10" i="13"/>
  <c r="F7" i="13"/>
  <c r="H23" i="4"/>
  <c r="G36" i="25"/>
  <c r="H22" i="8"/>
  <c r="I9" i="10" l="1"/>
  <c r="R19" i="23"/>
  <c r="T19" i="23"/>
  <c r="F35" i="25"/>
  <c r="P19" i="23"/>
  <c r="F34" i="25"/>
  <c r="G38" i="9"/>
  <c r="F33" i="25"/>
  <c r="F32" i="25"/>
  <c r="N19" i="23"/>
  <c r="G35" i="11"/>
  <c r="F34" i="8"/>
  <c r="F31" i="25"/>
  <c r="E38" i="9"/>
  <c r="F24" i="25"/>
  <c r="F41" i="3"/>
  <c r="F30" i="25"/>
  <c r="F29" i="25"/>
  <c r="D38" i="9"/>
  <c r="H36" i="25"/>
  <c r="I36" i="25"/>
  <c r="J36" i="25" s="1"/>
  <c r="J24" i="25"/>
  <c r="G34" i="20"/>
  <c r="H34" i="20"/>
  <c r="D36" i="25"/>
  <c r="F38" i="9"/>
  <c r="H40" i="12"/>
  <c r="F36" i="7"/>
  <c r="F28" i="25"/>
  <c r="C36" i="25"/>
  <c r="E36" i="25" l="1"/>
  <c r="F36" i="25" s="1"/>
  <c r="I20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Romanick</author>
  </authors>
  <commentList>
    <comment ref="E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Maria Romanick:</t>
        </r>
        <r>
          <rPr>
            <sz val="9"/>
            <color indexed="81"/>
            <rFont val="Tahoma"/>
            <family val="2"/>
          </rPr>
          <t xml:space="preserve">
Does not include charter info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Romanick</author>
  </authors>
  <commentList>
    <comment ref="R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Maria Romanick:</t>
        </r>
        <r>
          <rPr>
            <sz val="9"/>
            <color indexed="81"/>
            <rFont val="Tahoma"/>
            <family val="2"/>
          </rPr>
          <t xml:space="preserve">
2018 includes charter numbers.  Previous years do not.</t>
        </r>
      </text>
    </comment>
    <comment ref="L19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Maria Romanick:</t>
        </r>
        <r>
          <rPr>
            <sz val="9"/>
            <color indexed="81"/>
            <rFont val="Tahoma"/>
            <family val="2"/>
          </rPr>
          <t xml:space="preserve">
2018 includes charter numbers.  Previous years do not.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Romanick</author>
  </authors>
  <commentList>
    <comment ref="E8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Maria Romanick:</t>
        </r>
        <r>
          <rPr>
            <sz val="9"/>
            <color indexed="81"/>
            <rFont val="Tahoma"/>
            <family val="2"/>
          </rPr>
          <t xml:space="preserve">
"Total # flights" from "Passenger Enplanements" multiplied by 2 (takeoff and landing)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Romanick</author>
  </authors>
  <commentList>
    <comment ref="E20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Maria Romanick:</t>
        </r>
        <r>
          <rPr>
            <sz val="9"/>
            <color indexed="81"/>
            <rFont val="Tahoma"/>
            <family val="2"/>
          </rPr>
          <t xml:space="preserve">
"Encore Air" and Alpine Air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Long</author>
  </authors>
  <commentList>
    <comment ref="M27" authorId="0" shapeId="0" xr:uid="{F6976894-F779-4978-A3F4-06F1338F8A22}">
      <text>
        <r>
          <rPr>
            <b/>
            <sz val="9"/>
            <color indexed="81"/>
            <rFont val="Tahoma"/>
            <family val="2"/>
          </rPr>
          <t>Jessica Long:</t>
        </r>
        <r>
          <rPr>
            <sz val="9"/>
            <color indexed="81"/>
            <rFont val="Tahoma"/>
            <family val="2"/>
          </rPr>
          <t xml:space="preserve">
MAG met for year. Lowered MAG invoiced for what was left for the contract year</t>
        </r>
      </text>
    </comment>
    <comment ref="K33" authorId="0" shapeId="0" xr:uid="{C56D15BE-8F7E-4268-AAF4-4B1542741773}">
      <text>
        <r>
          <rPr>
            <b/>
            <sz val="9"/>
            <color indexed="81"/>
            <rFont val="Tahoma"/>
            <family val="2"/>
          </rPr>
          <t>Jessica Long:</t>
        </r>
        <r>
          <rPr>
            <sz val="9"/>
            <color indexed="81"/>
            <rFont val="Tahoma"/>
            <family val="2"/>
          </rPr>
          <t xml:space="preserve">
TEMP ADDITIONAL MAG DUE TO AMENDMENT TO LEASE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Dawn Kocina</author>
  </authors>
  <commentList>
    <comment ref="B20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Dawn Kocina:</t>
        </r>
        <r>
          <rPr>
            <sz val="9"/>
            <color indexed="81"/>
            <rFont val="Tahoma"/>
            <family val="2"/>
          </rPr>
          <t xml:space="preserve">
MAC INVENTORY FUEL AVGAS (YELLOW) (PUMPED)
</t>
        </r>
      </text>
    </comment>
    <comment ref="H20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Dawn Kocina:</t>
        </r>
        <r>
          <rPr>
            <sz val="9"/>
            <color indexed="81"/>
            <rFont val="Tahoma"/>
            <family val="2"/>
          </rPr>
          <t xml:space="preserve">
Other contract fuel + MAC Jet A (BLUE)</t>
        </r>
      </text>
    </comment>
    <comment ref="N20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Dawn Kocina:</t>
        </r>
        <r>
          <rPr>
            <sz val="9"/>
            <color indexed="81"/>
            <rFont val="Tahoma"/>
            <family val="2"/>
          </rPr>
          <t xml:space="preserve">
Airline into-plane only (Gallons Pumped: Delta, United, Allegiant)</t>
        </r>
      </text>
    </comment>
  </commentList>
</comments>
</file>

<file path=xl/sharedStrings.xml><?xml version="1.0" encoding="utf-8"?>
<sst xmlns="http://schemas.openxmlformats.org/spreadsheetml/2006/main" count="592" uniqueCount="219">
  <si>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</si>
  <si>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</si>
  <si>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</si>
  <si>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</si>
  <si>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</si>
  <si>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</si>
  <si>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</si>
  <si>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</si>
  <si>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</si>
  <si>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</si>
  <si>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</si>
  <si>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</si>
  <si>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</si>
  <si>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Grand Forks</t>
  </si>
  <si>
    <t>Minot</t>
  </si>
  <si>
    <t>Williston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</si>
  <si>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</si>
  <si>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</si>
  <si>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</si>
  <si>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</si>
  <si>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</si>
  <si>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</si>
  <si>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</si>
  <si>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</si>
  <si>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</si>
  <si>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</si>
  <si>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</si>
  <si>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</si>
  <si>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</t>
  </si>
  <si>
    <t>PASSENGERS</t>
  </si>
  <si>
    <t>MONTH</t>
  </si>
  <si>
    <t>TOTALS</t>
  </si>
  <si>
    <t>ENP</t>
  </si>
  <si>
    <t>REV-ENP</t>
  </si>
  <si>
    <t>Difference</t>
  </si>
  <si>
    <t>% Diff</t>
  </si>
  <si>
    <t>Enplanements</t>
  </si>
  <si>
    <t>Avail. Seats</t>
  </si>
  <si>
    <t>Load Factor</t>
  </si>
  <si>
    <t>LOAD FACTOR (%)</t>
  </si>
  <si>
    <t>DIFFERENCE</t>
  </si>
  <si>
    <t>ANNUAL AVERAGE:</t>
  </si>
  <si>
    <t>Carrier</t>
  </si>
  <si>
    <t>Allegiant</t>
  </si>
  <si>
    <t>Delta</t>
  </si>
  <si>
    <t>United</t>
  </si>
  <si>
    <t>Total</t>
  </si>
  <si>
    <t>Average</t>
  </si>
  <si>
    <t># Seats</t>
  </si>
  <si>
    <t>Change</t>
  </si>
  <si>
    <t>% DIFFERENCE</t>
  </si>
  <si>
    <t>ANNUAL DEPARTURES:</t>
  </si>
  <si>
    <t>January</t>
  </si>
  <si>
    <t>Percentage</t>
  </si>
  <si>
    <t>Passengers</t>
  </si>
  <si>
    <t>Charter</t>
  </si>
  <si>
    <t>Total:</t>
  </si>
  <si>
    <t>Tower Operations</t>
  </si>
  <si>
    <t>TOTAL</t>
  </si>
  <si>
    <t>Air Carrier</t>
  </si>
  <si>
    <t>Air Taxi</t>
  </si>
  <si>
    <t>General Aviation</t>
  </si>
  <si>
    <t>Military</t>
  </si>
  <si>
    <t>CAR RENTAL GROSS RECEIPTS</t>
  </si>
  <si>
    <t>TOTAL:</t>
  </si>
  <si>
    <t>GROSS RECEIPTS</t>
  </si>
  <si>
    <t>After Expenses</t>
  </si>
  <si>
    <t>Enplaned</t>
  </si>
  <si>
    <t>Deplaned</t>
  </si>
  <si>
    <t>March</t>
  </si>
  <si>
    <t>February</t>
  </si>
  <si>
    <t>June</t>
  </si>
  <si>
    <t>July</t>
  </si>
  <si>
    <t>August</t>
  </si>
  <si>
    <t>September</t>
  </si>
  <si>
    <t>October</t>
  </si>
  <si>
    <t>November</t>
  </si>
  <si>
    <t>December</t>
  </si>
  <si>
    <t>Fed-Ex</t>
  </si>
  <si>
    <t xml:space="preserve">UPS </t>
  </si>
  <si>
    <t>Gross Sales</t>
  </si>
  <si>
    <t>% Change</t>
  </si>
  <si>
    <t>April</t>
  </si>
  <si>
    <t>STORAGE &amp; FLOWAGE FEES</t>
  </si>
  <si>
    <t xml:space="preserve">Storage Fees           </t>
  </si>
  <si>
    <t xml:space="preserve">United     Into-Plane           </t>
  </si>
  <si>
    <t>Landing Fees</t>
  </si>
  <si>
    <t>% Of Gross Receipts</t>
  </si>
  <si>
    <t>COMPARISON OF GALLONS SOLD</t>
  </si>
  <si>
    <t>AVGAS</t>
  </si>
  <si>
    <t>JET FUEL</t>
  </si>
  <si>
    <t>AIRLINE INTO-PLANE</t>
  </si>
  <si>
    <t>2013 AVGAS PIETSCH</t>
  </si>
  <si>
    <t>2014 AVGAS PIETSCH</t>
  </si>
  <si>
    <t>2015 AVGAS PIETSCH</t>
  </si>
  <si>
    <t>2016 AVGAS PIETSCH</t>
  </si>
  <si>
    <t>2017 AVGAS PIETSCH</t>
  </si>
  <si>
    <t>2014     JET FUEL PIETSCH</t>
  </si>
  <si>
    <t>2015     JET FUEL PIETSCH</t>
  </si>
  <si>
    <t>2016      JET FUEL PIETSCH</t>
  </si>
  <si>
    <t>2013 AIRLINE PIETSCH</t>
  </si>
  <si>
    <t>2014 AIRLINE PIETSCH</t>
  </si>
  <si>
    <t>2015 AIRLINE PIETSCH</t>
  </si>
  <si>
    <t>2016 AIRLINE PIETSCH</t>
  </si>
  <si>
    <t>2017 AIRLINE PIETSCH</t>
  </si>
  <si>
    <t>JUNE</t>
  </si>
  <si>
    <t>JULY</t>
  </si>
  <si>
    <t>SEPT</t>
  </si>
  <si>
    <t>TOTAL PASSENGERS</t>
  </si>
  <si>
    <t>Total Enplaned Passengers</t>
  </si>
  <si>
    <t>REVENUE ENPLANED PASSENGERS</t>
  </si>
  <si>
    <t>NON-REVENUE PASSENGERS</t>
  </si>
  <si>
    <t>TOTAL DEPLANED PASSENGERS</t>
  </si>
  <si>
    <t>REVENUE DEPLANED PASSENGERS</t>
  </si>
  <si>
    <t>MONTHLY AIRLINE DEPARTURES</t>
  </si>
  <si>
    <t>COMMERCIAL SERVICE AIRPORTS COMPARISON</t>
  </si>
  <si>
    <t>MONTHLY ENPLANED PASSENGER LOAD FACTOR SUMMARY</t>
  </si>
  <si>
    <t>LOAD FACTOR BY AIRLINE</t>
  </si>
  <si>
    <t>AIR CARRIER MARKET SHARE</t>
  </si>
  <si>
    <t>MOT TOWER OPERATIONS COUNTS</t>
  </si>
  <si>
    <t>MONTHLY CAR RENTAL</t>
  </si>
  <si>
    <t>AIRPORT PARKING REVENUE</t>
  </si>
  <si>
    <t>Monthly Customs Flights</t>
  </si>
  <si>
    <t>CONCESSION SALES</t>
  </si>
  <si>
    <t>COMMERCIAL TERMINAL CHARTERS</t>
  </si>
  <si>
    <t>Charters</t>
  </si>
  <si>
    <t>Pax &amp; Crew</t>
  </si>
  <si>
    <t># of Aircraft</t>
  </si>
  <si>
    <t>100LL</t>
  </si>
  <si>
    <t>2012 AVGAS PIETSCH</t>
  </si>
  <si>
    <t>2018 100LL AVFLIGHT</t>
  </si>
  <si>
    <t>2012 AIRLINE PIETSCH</t>
  </si>
  <si>
    <t>Plug In Fees</t>
  </si>
  <si>
    <t>AVFLIGHT MINOT</t>
  </si>
  <si>
    <t xml:space="preserve">General / Transient Flow Fees </t>
  </si>
  <si>
    <t>Allegiant     Into-Plane</t>
  </si>
  <si>
    <t>Parking Fees</t>
  </si>
  <si>
    <t>AVFLIGHT</t>
  </si>
  <si>
    <t>2017 100LL AVFLIGHT</t>
  </si>
  <si>
    <t>2019 100LL AVFLIGHT</t>
  </si>
  <si>
    <t>2020 100LL AVFLIGHT</t>
  </si>
  <si>
    <t>2021 100LL AVFLIGHT</t>
  </si>
  <si>
    <t>2022 100LL AVFLIGHT</t>
  </si>
  <si>
    <t>2017 
JET A 
AVFLIGHT</t>
  </si>
  <si>
    <t>2018 
JET A 
AVFLIGHT</t>
  </si>
  <si>
    <t>2019 
JET A 
AVFLIGHT</t>
  </si>
  <si>
    <t>2020 
JET A 
AVFLIGHT</t>
  </si>
  <si>
    <t>2021 
JET A 
AVFLIGHT</t>
  </si>
  <si>
    <t>2022 
JET A 
AVFLIGHT</t>
  </si>
  <si>
    <t>2017
AIRLINE
AVFLIGHT</t>
  </si>
  <si>
    <t>2018
AIRLINE
AVFLIGHT</t>
  </si>
  <si>
    <t>2019
AIRLINE
AVFLIGHT</t>
  </si>
  <si>
    <t>2020
AIRLINE
AVFLIGHT</t>
  </si>
  <si>
    <t>2021
AIRLINE
AVFLIGHT</t>
  </si>
  <si>
    <t>2022
AIRLINE
AVFLIGHT</t>
  </si>
  <si>
    <t>PIETSCH</t>
  </si>
  <si>
    <t>2012 
JET FUEL PIETSCH</t>
  </si>
  <si>
    <t>2013
JET FUEL PIETSCH</t>
  </si>
  <si>
    <t>2017 
 JET FUEL PIETSCH</t>
  </si>
  <si>
    <t>DEPARTING MONTHLY SEATS</t>
  </si>
  <si>
    <t xml:space="preserve">Delta     Into-Plane        </t>
  </si>
  <si>
    <t>Minot Aero Gross Receipts</t>
  </si>
  <si>
    <t>Bismarck</t>
  </si>
  <si>
    <t xml:space="preserve"> </t>
  </si>
  <si>
    <t>Monthly Charge</t>
  </si>
  <si>
    <t>Freight In</t>
  </si>
  <si>
    <t>Freight Out</t>
  </si>
  <si>
    <t>CARGO TONNAGE REPORT</t>
  </si>
  <si>
    <t>TOTAL TONNAGE</t>
  </si>
  <si>
    <t>2021 Seats Available</t>
  </si>
  <si>
    <t>2021 Revenue ENPL PASS</t>
  </si>
  <si>
    <t>2021 Load Factor</t>
  </si>
  <si>
    <t>2019 Seats</t>
  </si>
  <si>
    <t>2020 Seats</t>
  </si>
  <si>
    <t>2021 Seats</t>
  </si>
  <si>
    <t>2021/2020</t>
  </si>
  <si>
    <t>Operator</t>
  </si>
  <si>
    <t>Swift Airways</t>
  </si>
  <si>
    <t># of Flights</t>
  </si>
  <si>
    <t>%</t>
  </si>
  <si>
    <t>APSTFL</t>
  </si>
  <si>
    <t xml:space="preserve">
Minot Aero</t>
  </si>
  <si>
    <t>APPOGR</t>
  </si>
  <si>
    <t>APRAMP</t>
  </si>
  <si>
    <t>APLOTH</t>
  </si>
  <si>
    <t>*New operator/concession agreement</t>
  </si>
  <si>
    <t xml:space="preserve">Excess due </t>
  </si>
  <si>
    <t>above MAG</t>
  </si>
  <si>
    <t>Total  Due</t>
  </si>
  <si>
    <t>Sun Country</t>
  </si>
  <si>
    <t>ITINERANT</t>
  </si>
  <si>
    <t>LOCAL</t>
  </si>
  <si>
    <t>Total Itinerant</t>
  </si>
  <si>
    <t>Civil</t>
  </si>
  <si>
    <t>Total Local</t>
  </si>
  <si>
    <t>Total Operations</t>
  </si>
  <si>
    <t>OPS-NET Data</t>
  </si>
  <si>
    <t>2022 Seats Available</t>
  </si>
  <si>
    <t>2022 Revenue ENPL PASS</t>
  </si>
  <si>
    <t>2022 Load Factor</t>
  </si>
  <si>
    <t>Seats</t>
  </si>
  <si>
    <t>2022 Seats</t>
  </si>
  <si>
    <t>2022 % of Gross Revenue</t>
  </si>
  <si>
    <t>2022 TONNAGE</t>
  </si>
  <si>
    <t>Date</t>
  </si>
  <si>
    <t>Airport Operations&gt;Dates:2020-2022&gt;Facitilies:MOT&gt;Groupings:Date</t>
  </si>
  <si>
    <t>Operational Activity - YTD (July)</t>
  </si>
  <si>
    <t>2022 Required Sales</t>
  </si>
  <si>
    <t>2022 Required MAG</t>
  </si>
  <si>
    <t>CONCESSION MAG</t>
  </si>
  <si>
    <t xml:space="preserve"> Payments</t>
  </si>
  <si>
    <t>-</t>
  </si>
  <si>
    <t>September 2022</t>
  </si>
  <si>
    <t>October 2022</t>
  </si>
  <si>
    <t>October 2021</t>
  </si>
  <si>
    <t>Oct-20</t>
  </si>
  <si>
    <t>Oct-21</t>
  </si>
  <si>
    <t>Oct-22</t>
  </si>
  <si>
    <t>Hess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</si>
</sst>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_(&quot;$&quot;* #,##0_);_(&quot;$&quot;* \(#,##0\);_(&quot;$&quot;* &quot;-&quot;??_);_(@_)"/>
    <numFmt numFmtId="168" formatCode="#,##0.0"/>
    <numFmt numFmtId="169" formatCode="&quot;$&quot;#,##0.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0"/>
      <color theme="4" tint="-0.249977111117893"/>
      <name val="Arial"/>
      <family val="2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indexed="8"/>
      <name val="Arial Bold"/>
      <family val="2"/>
    </font>
    <font>
      <b/>
      <sz val="20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/>
      <name val="Arial"/>
      <family val="2"/>
    </font>
    <font>
      <b/>
      <sz val="12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theme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0"/>
      <color rgb="FF004080"/>
      <name val="Arial"/>
      <family val="2"/>
    </font>
    <font>
      <sz val="10"/>
      <color rgb="FF333333"/>
      <name val="Arial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E4FE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A0A0A0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3">
    <xf numFmtId="0" fontId="0" fillId="0" borderId="0" xfId="0"/>
    <xf numFmtId="0" fontId="0" fillId="0" borderId="0" xfId="0" applyBorder="1" applyAlignment="1">
      <alignment horizontal="center"/>
    </xf>
    <xf numFmtId="164" fontId="1" fillId="0" borderId="4" xfId="2" applyNumberFormat="1" applyFont="1" applyBorder="1" applyAlignment="1">
      <alignment horizontal="center"/>
    </xf>
    <xf numFmtId="164" fontId="1" fillId="0" borderId="0" xfId="2" applyNumberFormat="1" applyFont="1" applyBorder="1" applyAlignment="1">
      <alignment horizontal="center"/>
    </xf>
    <xf numFmtId="165" fontId="1" fillId="0" borderId="5" xfId="3" applyNumberFormat="1" applyFont="1" applyBorder="1"/>
    <xf numFmtId="164" fontId="1" fillId="0" borderId="4" xfId="2" applyNumberFormat="1" applyFont="1" applyFill="1" applyBorder="1" applyAlignment="1">
      <alignment horizontal="center"/>
    </xf>
    <xf numFmtId="164" fontId="1" fillId="0" borderId="0" xfId="2" applyNumberFormat="1" applyFont="1" applyFill="1" applyBorder="1" applyAlignment="1">
      <alignment horizontal="center"/>
    </xf>
    <xf numFmtId="165" fontId="1" fillId="0" borderId="5" xfId="3" applyNumberFormat="1" applyFont="1" applyFill="1" applyBorder="1"/>
    <xf numFmtId="164" fontId="1" fillId="0" borderId="6" xfId="2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0" fillId="0" borderId="18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3" fontId="20" fillId="0" borderId="25" xfId="0" applyNumberFormat="1" applyFont="1" applyBorder="1" applyAlignment="1">
      <alignment horizontal="center"/>
    </xf>
    <xf numFmtId="3" fontId="20" fillId="0" borderId="23" xfId="0" applyNumberFormat="1" applyFont="1" applyBorder="1" applyAlignment="1">
      <alignment horizontal="center"/>
    </xf>
    <xf numFmtId="0" fontId="19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0" fillId="0" borderId="20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2" fillId="0" borderId="32" xfId="0" applyFont="1" applyBorder="1" applyAlignment="1">
      <alignment horizontal="center" vertical="center" wrapText="1"/>
    </xf>
    <xf numFmtId="0" fontId="22" fillId="0" borderId="35" xfId="0" applyFont="1" applyBorder="1"/>
    <xf numFmtId="0" fontId="22" fillId="0" borderId="25" xfId="0" applyFont="1" applyBorder="1"/>
    <xf numFmtId="0" fontId="23" fillId="0" borderId="31" xfId="0" applyFont="1" applyBorder="1"/>
    <xf numFmtId="44" fontId="23" fillId="0" borderId="37" xfId="0" applyNumberFormat="1" applyFont="1" applyBorder="1" applyAlignment="1">
      <alignment horizontal="center"/>
    </xf>
    <xf numFmtId="0" fontId="15" fillId="0" borderId="0" xfId="0" applyFont="1"/>
    <xf numFmtId="0" fontId="7" fillId="0" borderId="0" xfId="0" applyFont="1"/>
    <xf numFmtId="0" fontId="22" fillId="0" borderId="21" xfId="0" applyFont="1" applyBorder="1" applyAlignment="1">
      <alignment horizontal="center" vertical="center" wrapText="1"/>
    </xf>
    <xf numFmtId="169" fontId="13" fillId="0" borderId="36" xfId="0" applyNumberFormat="1" applyFont="1" applyBorder="1" applyAlignment="1">
      <alignment horizontal="center" wrapText="1"/>
    </xf>
    <xf numFmtId="169" fontId="25" fillId="0" borderId="36" xfId="0" applyNumberFormat="1" applyFont="1" applyBorder="1" applyAlignment="1">
      <alignment horizontal="center" vertical="center" wrapText="1"/>
    </xf>
    <xf numFmtId="0" fontId="22" fillId="0" borderId="19" xfId="0" applyFont="1" applyBorder="1"/>
    <xf numFmtId="44" fontId="7" fillId="0" borderId="19" xfId="0" applyNumberFormat="1" applyFont="1" applyBorder="1"/>
    <xf numFmtId="0" fontId="22" fillId="0" borderId="22" xfId="0" applyFont="1" applyBorder="1"/>
    <xf numFmtId="44" fontId="7" fillId="0" borderId="22" xfId="0" applyNumberFormat="1" applyFont="1" applyBorder="1"/>
    <xf numFmtId="44" fontId="7" fillId="0" borderId="36" xfId="0" applyNumberFormat="1" applyFont="1" applyBorder="1"/>
    <xf numFmtId="0" fontId="22" fillId="0" borderId="22" xfId="0" applyFont="1" applyBorder="1" applyAlignment="1">
      <alignment horizontal="right"/>
    </xf>
    <xf numFmtId="0" fontId="26" fillId="0" borderId="9" xfId="0" applyFont="1" applyBorder="1"/>
    <xf numFmtId="0" fontId="28" fillId="0" borderId="41" xfId="0" applyFont="1" applyBorder="1" applyAlignment="1">
      <alignment horizontal="center" wrapText="1"/>
    </xf>
    <xf numFmtId="0" fontId="28" fillId="0" borderId="42" xfId="0" applyFont="1" applyBorder="1" applyAlignment="1">
      <alignment horizontal="center" wrapText="1"/>
    </xf>
    <xf numFmtId="3" fontId="29" fillId="0" borderId="0" xfId="0" applyNumberFormat="1" applyFont="1" applyBorder="1" applyAlignment="1">
      <alignment horizontal="center"/>
    </xf>
    <xf numFmtId="3" fontId="29" fillId="0" borderId="43" xfId="0" applyNumberFormat="1" applyFont="1" applyBorder="1" applyAlignment="1">
      <alignment horizontal="center"/>
    </xf>
    <xf numFmtId="3" fontId="29" fillId="0" borderId="12" xfId="0" applyNumberFormat="1" applyFont="1" applyBorder="1" applyAlignment="1">
      <alignment horizontal="center"/>
    </xf>
    <xf numFmtId="3" fontId="29" fillId="0" borderId="45" xfId="0" applyNumberFormat="1" applyFont="1" applyBorder="1" applyAlignment="1">
      <alignment horizontal="center"/>
    </xf>
    <xf numFmtId="3" fontId="29" fillId="0" borderId="46" xfId="0" applyNumberFormat="1" applyFont="1" applyBorder="1" applyAlignment="1">
      <alignment horizontal="center"/>
    </xf>
    <xf numFmtId="0" fontId="28" fillId="0" borderId="13" xfId="0" applyFont="1" applyBorder="1"/>
    <xf numFmtId="3" fontId="29" fillId="0" borderId="14" xfId="0" applyNumberFormat="1" applyFont="1" applyBorder="1" applyAlignment="1">
      <alignment horizontal="center"/>
    </xf>
    <xf numFmtId="3" fontId="29" fillId="0" borderId="47" xfId="0" applyNumberFormat="1" applyFont="1" applyBorder="1" applyAlignment="1">
      <alignment horizontal="center"/>
    </xf>
    <xf numFmtId="3" fontId="29" fillId="0" borderId="4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Alignment="1"/>
    <xf numFmtId="0" fontId="32" fillId="0" borderId="0" xfId="0" applyFont="1" applyAlignment="1"/>
    <xf numFmtId="0" fontId="0" fillId="0" borderId="22" xfId="0" applyBorder="1"/>
    <xf numFmtId="0" fontId="12" fillId="0" borderId="22" xfId="0" applyFont="1" applyBorder="1"/>
    <xf numFmtId="0" fontId="0" fillId="0" borderId="22" xfId="0" applyBorder="1" applyAlignment="1">
      <alignment horizontal="center"/>
    </xf>
    <xf numFmtId="164" fontId="29" fillId="0" borderId="0" xfId="5" applyNumberFormat="1" applyFont="1" applyBorder="1"/>
    <xf numFmtId="3" fontId="29" fillId="0" borderId="0" xfId="0" applyNumberFormat="1" applyFont="1" applyFill="1" applyBorder="1" applyAlignment="1">
      <alignment horizontal="center"/>
    </xf>
    <xf numFmtId="3" fontId="29" fillId="0" borderId="12" xfId="0" applyNumberFormat="1" applyFont="1" applyFill="1" applyBorder="1" applyAlignment="1">
      <alignment horizontal="center"/>
    </xf>
    <xf numFmtId="164" fontId="29" fillId="0" borderId="45" xfId="5" applyNumberFormat="1" applyFont="1" applyBorder="1"/>
    <xf numFmtId="164" fontId="29" fillId="0" borderId="14" xfId="5" applyNumberFormat="1" applyFont="1" applyBorder="1"/>
    <xf numFmtId="43" fontId="0" fillId="0" borderId="0" xfId="0" applyNumberFormat="1"/>
    <xf numFmtId="9" fontId="25" fillId="0" borderId="36" xfId="3" applyFont="1" applyBorder="1" applyAlignment="1">
      <alignment horizontal="center" vertical="center" wrapText="1"/>
    </xf>
    <xf numFmtId="9" fontId="25" fillId="0" borderId="36" xfId="3" applyNumberFormat="1" applyFont="1" applyBorder="1" applyAlignment="1">
      <alignment horizontal="center" vertical="center" wrapText="1"/>
    </xf>
    <xf numFmtId="3" fontId="29" fillId="0" borderId="12" xfId="0" applyNumberFormat="1" applyFont="1" applyBorder="1" applyAlignment="1" applyProtection="1">
      <alignment horizontal="center"/>
    </xf>
    <xf numFmtId="3" fontId="0" fillId="0" borderId="0" xfId="0" applyNumberFormat="1"/>
    <xf numFmtId="165" fontId="1" fillId="0" borderId="8" xfId="3" applyNumberFormat="1" applyFont="1" applyBorder="1"/>
    <xf numFmtId="0" fontId="24" fillId="0" borderId="0" xfId="0" applyFont="1" applyBorder="1" applyAlignment="1"/>
    <xf numFmtId="0" fontId="28" fillId="0" borderId="50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wrapText="1"/>
    </xf>
    <xf numFmtId="0" fontId="28" fillId="0" borderId="51" xfId="0" applyFont="1" applyBorder="1"/>
    <xf numFmtId="3" fontId="29" fillId="0" borderId="49" xfId="0" applyNumberFormat="1" applyFont="1" applyBorder="1" applyAlignment="1">
      <alignment horizontal="center"/>
    </xf>
    <xf numFmtId="3" fontId="29" fillId="0" borderId="44" xfId="0" applyNumberFormat="1" applyFont="1" applyBorder="1" applyAlignment="1">
      <alignment horizontal="center"/>
    </xf>
    <xf numFmtId="0" fontId="28" fillId="0" borderId="49" xfId="0" applyFont="1" applyBorder="1"/>
    <xf numFmtId="3" fontId="29" fillId="0" borderId="12" xfId="0" applyNumberFormat="1" applyFont="1" applyBorder="1" applyAlignment="1" applyProtection="1">
      <alignment horizontal="center"/>
      <protection locked="0"/>
    </xf>
    <xf numFmtId="0" fontId="28" fillId="0" borderId="52" xfId="0" applyFont="1" applyBorder="1"/>
    <xf numFmtId="3" fontId="29" fillId="0" borderId="52" xfId="0" applyNumberFormat="1" applyFont="1" applyBorder="1" applyAlignment="1">
      <alignment horizontal="center"/>
    </xf>
    <xf numFmtId="3" fontId="29" fillId="0" borderId="13" xfId="0" applyNumberFormat="1" applyFont="1" applyBorder="1" applyAlignment="1">
      <alignment horizontal="center"/>
    </xf>
    <xf numFmtId="3" fontId="29" fillId="0" borderId="15" xfId="0" applyNumberFormat="1" applyFont="1" applyBorder="1" applyAlignment="1">
      <alignment horizontal="center"/>
    </xf>
    <xf numFmtId="164" fontId="1" fillId="0" borderId="7" xfId="2" applyNumberFormat="1" applyFont="1" applyBorder="1" applyAlignment="1">
      <alignment horizontal="center"/>
    </xf>
    <xf numFmtId="0" fontId="39" fillId="0" borderId="0" xfId="0" applyFont="1" applyFill="1"/>
    <xf numFmtId="164" fontId="1" fillId="0" borderId="4" xfId="2" applyNumberFormat="1" applyFont="1" applyFill="1" applyBorder="1" applyAlignment="1">
      <alignment horizontal="right"/>
    </xf>
    <xf numFmtId="165" fontId="0" fillId="0" borderId="5" xfId="3" applyNumberFormat="1" applyFont="1" applyBorder="1"/>
    <xf numFmtId="0" fontId="21" fillId="0" borderId="0" xfId="0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1" fontId="10" fillId="0" borderId="0" xfId="1" applyNumberFormat="1" applyFont="1" applyFill="1" applyAlignment="1">
      <alignment horizontal="center"/>
    </xf>
    <xf numFmtId="44" fontId="0" fillId="0" borderId="0" xfId="1" applyFont="1"/>
    <xf numFmtId="9" fontId="22" fillId="0" borderId="20" xfId="3" applyFont="1" applyBorder="1" applyAlignment="1">
      <alignment horizontal="center"/>
    </xf>
    <xf numFmtId="164" fontId="40" fillId="0" borderId="0" xfId="2" applyNumberFormat="1" applyFont="1" applyFill="1" applyBorder="1" applyAlignment="1"/>
    <xf numFmtId="0" fontId="20" fillId="0" borderId="27" xfId="0" applyFont="1" applyFill="1" applyBorder="1" applyAlignment="1">
      <alignment horizontal="center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44" fontId="7" fillId="0" borderId="22" xfId="0" applyNumberFormat="1" applyFont="1" applyFill="1" applyBorder="1"/>
    <xf numFmtId="164" fontId="0" fillId="0" borderId="7" xfId="5" applyNumberFormat="1" applyFont="1" applyBorder="1"/>
    <xf numFmtId="165" fontId="0" fillId="0" borderId="8" xfId="3" applyNumberFormat="1" applyFont="1" applyBorder="1"/>
    <xf numFmtId="164" fontId="40" fillId="0" borderId="0" xfId="2" applyNumberFormat="1" applyFont="1" applyBorder="1" applyAlignment="1">
      <alignment horizontal="center"/>
    </xf>
    <xf numFmtId="164" fontId="40" fillId="0" borderId="0" xfId="2" applyNumberFormat="1" applyFont="1" applyFill="1" applyBorder="1" applyAlignment="1">
      <alignment horizontal="center"/>
    </xf>
    <xf numFmtId="164" fontId="40" fillId="0" borderId="7" xfId="2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 wrapText="1"/>
    </xf>
    <xf numFmtId="44" fontId="0" fillId="0" borderId="45" xfId="0" applyNumberFormat="1" applyFill="1" applyBorder="1"/>
    <xf numFmtId="43" fontId="0" fillId="0" borderId="0" xfId="5" applyFont="1"/>
    <xf numFmtId="0" fontId="38" fillId="0" borderId="0" xfId="0" applyFont="1" applyAlignment="1"/>
    <xf numFmtId="0" fontId="16" fillId="0" borderId="0" xfId="0" applyFont="1" applyFill="1" applyBorder="1" applyAlignment="1"/>
    <xf numFmtId="0" fontId="0" fillId="2" borderId="49" xfId="0" applyFill="1" applyBorder="1"/>
    <xf numFmtId="0" fontId="14" fillId="2" borderId="54" xfId="0" applyFont="1" applyFill="1" applyBorder="1" applyAlignment="1">
      <alignment horizontal="center" wrapText="1"/>
    </xf>
    <xf numFmtId="0" fontId="14" fillId="2" borderId="55" xfId="0" applyFont="1" applyFill="1" applyBorder="1" applyAlignment="1">
      <alignment horizontal="center" wrapText="1"/>
    </xf>
    <xf numFmtId="0" fontId="14" fillId="2" borderId="53" xfId="0" applyFont="1" applyFill="1" applyBorder="1"/>
    <xf numFmtId="4" fontId="1" fillId="2" borderId="18" xfId="1" applyNumberFormat="1" applyFont="1" applyFill="1" applyBorder="1" applyAlignment="1">
      <alignment horizontal="center"/>
    </xf>
    <xf numFmtId="4" fontId="1" fillId="2" borderId="20" xfId="1" applyNumberFormat="1" applyFont="1" applyFill="1" applyBorder="1" applyAlignment="1">
      <alignment horizontal="center"/>
    </xf>
    <xf numFmtId="4" fontId="0" fillId="2" borderId="18" xfId="0" applyNumberFormat="1" applyFill="1" applyBorder="1" applyAlignment="1">
      <alignment horizontal="center"/>
    </xf>
    <xf numFmtId="4" fontId="1" fillId="2" borderId="27" xfId="1" applyNumberFormat="1" applyFont="1" applyFill="1" applyBorder="1" applyAlignment="1">
      <alignment horizontal="center"/>
    </xf>
    <xf numFmtId="4" fontId="0" fillId="2" borderId="25" xfId="0" applyNumberFormat="1" applyFill="1" applyBorder="1" applyAlignment="1">
      <alignment horizontal="center"/>
    </xf>
    <xf numFmtId="0" fontId="14" fillId="2" borderId="56" xfId="0" applyFont="1" applyFill="1" applyBorder="1"/>
    <xf numFmtId="0" fontId="14" fillId="2" borderId="38" xfId="0" applyFont="1" applyFill="1" applyBorder="1"/>
    <xf numFmtId="168" fontId="1" fillId="2" borderId="54" xfId="1" applyNumberFormat="1" applyFont="1" applyFill="1" applyBorder="1" applyAlignment="1">
      <alignment horizontal="center"/>
    </xf>
    <xf numFmtId="168" fontId="1" fillId="2" borderId="55" xfId="1" applyNumberFormat="1" applyFont="1" applyFill="1" applyBorder="1" applyAlignment="1">
      <alignment horizontal="center"/>
    </xf>
    <xf numFmtId="4" fontId="1" fillId="2" borderId="54" xfId="1" applyNumberFormat="1" applyFont="1" applyFill="1" applyBorder="1" applyAlignment="1">
      <alignment horizontal="center"/>
    </xf>
    <xf numFmtId="4" fontId="1" fillId="2" borderId="55" xfId="1" applyNumberFormat="1" applyFont="1" applyFill="1" applyBorder="1" applyAlignment="1">
      <alignment horizontal="center"/>
    </xf>
    <xf numFmtId="4" fontId="0" fillId="2" borderId="54" xfId="0" applyNumberFormat="1" applyFill="1" applyBorder="1" applyAlignment="1">
      <alignment horizontal="center"/>
    </xf>
    <xf numFmtId="0" fontId="4" fillId="0" borderId="49" xfId="0" applyFont="1" applyFill="1" applyBorder="1"/>
    <xf numFmtId="3" fontId="7" fillId="0" borderId="0" xfId="2" applyNumberFormat="1" applyFont="1" applyFill="1" applyBorder="1" applyAlignment="1">
      <alignment horizontal="center"/>
    </xf>
    <xf numFmtId="0" fontId="0" fillId="0" borderId="49" xfId="0" applyFill="1" applyBorder="1"/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" fontId="1" fillId="0" borderId="27" xfId="1" applyNumberFormat="1" applyFont="1" applyFill="1" applyBorder="1" applyAlignment="1">
      <alignment horizontal="center"/>
    </xf>
    <xf numFmtId="3" fontId="0" fillId="0" borderId="7" xfId="0" applyNumberFormat="1" applyBorder="1"/>
    <xf numFmtId="0" fontId="19" fillId="0" borderId="17" xfId="0" applyFont="1" applyBorder="1"/>
    <xf numFmtId="0" fontId="19" fillId="0" borderId="53" xfId="0" applyFont="1" applyBorder="1"/>
    <xf numFmtId="0" fontId="19" fillId="0" borderId="56" xfId="0" applyFont="1" applyBorder="1"/>
    <xf numFmtId="0" fontId="0" fillId="0" borderId="60" xfId="0" applyBorder="1"/>
    <xf numFmtId="0" fontId="19" fillId="0" borderId="3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wrapText="1"/>
    </xf>
    <xf numFmtId="164" fontId="7" fillId="6" borderId="63" xfId="2" applyNumberFormat="1" applyFont="1" applyFill="1" applyBorder="1" applyAlignment="1">
      <alignment horizontal="center"/>
    </xf>
    <xf numFmtId="165" fontId="3" fillId="6" borderId="62" xfId="3" applyNumberFormat="1" applyFont="1" applyFill="1" applyBorder="1" applyAlignment="1">
      <alignment horizontal="center"/>
    </xf>
    <xf numFmtId="164" fontId="7" fillId="6" borderId="22" xfId="2" applyNumberFormat="1" applyFont="1" applyFill="1" applyBorder="1" applyAlignment="1">
      <alignment horizontal="center"/>
    </xf>
    <xf numFmtId="165" fontId="3" fillId="6" borderId="27" xfId="3" applyNumberFormat="1" applyFont="1" applyFill="1" applyBorder="1" applyAlignment="1">
      <alignment horizontal="center"/>
    </xf>
    <xf numFmtId="164" fontId="7" fillId="6" borderId="21" xfId="2" applyNumberFormat="1" applyFont="1" applyFill="1" applyBorder="1" applyAlignment="1">
      <alignment horizontal="center"/>
    </xf>
    <xf numFmtId="165" fontId="3" fillId="6" borderId="58" xfId="3" applyNumberFormat="1" applyFont="1" applyFill="1" applyBorder="1" applyAlignment="1">
      <alignment horizontal="center"/>
    </xf>
    <xf numFmtId="0" fontId="4" fillId="6" borderId="61" xfId="0" applyFont="1" applyFill="1" applyBorder="1" applyAlignment="1">
      <alignment horizontal="right"/>
    </xf>
    <xf numFmtId="164" fontId="8" fillId="6" borderId="64" xfId="2" applyNumberFormat="1" applyFont="1" applyFill="1" applyBorder="1" applyAlignment="1">
      <alignment horizontal="center"/>
    </xf>
    <xf numFmtId="10" fontId="4" fillId="6" borderId="55" xfId="3" applyNumberFormat="1" applyFont="1" applyFill="1" applyBorder="1" applyAlignment="1">
      <alignment horizontal="center"/>
    </xf>
    <xf numFmtId="3" fontId="8" fillId="6" borderId="64" xfId="0" applyNumberFormat="1" applyFont="1" applyFill="1" applyBorder="1" applyAlignment="1">
      <alignment horizontal="center"/>
    </xf>
    <xf numFmtId="0" fontId="4" fillId="6" borderId="61" xfId="0" applyFont="1" applyFill="1" applyBorder="1" applyAlignment="1">
      <alignment horizontal="center"/>
    </xf>
    <xf numFmtId="1" fontId="4" fillId="6" borderId="54" xfId="0" applyNumberFormat="1" applyFont="1" applyFill="1" applyBorder="1" applyAlignment="1">
      <alignment horizontal="center"/>
    </xf>
    <xf numFmtId="0" fontId="4" fillId="6" borderId="64" xfId="0" applyFont="1" applyFill="1" applyBorder="1" applyAlignment="1">
      <alignment horizontal="center"/>
    </xf>
    <xf numFmtId="0" fontId="4" fillId="6" borderId="55" xfId="0" applyFont="1" applyFill="1" applyBorder="1" applyAlignment="1">
      <alignment horizontal="center" vertical="center"/>
    </xf>
    <xf numFmtId="0" fontId="4" fillId="6" borderId="69" xfId="0" applyFont="1" applyFill="1" applyBorder="1"/>
    <xf numFmtId="3" fontId="7" fillId="6" borderId="67" xfId="2" applyNumberFormat="1" applyFont="1" applyFill="1" applyBorder="1" applyAlignment="1">
      <alignment horizontal="center"/>
    </xf>
    <xf numFmtId="3" fontId="7" fillId="6" borderId="63" xfId="2" applyNumberFormat="1" applyFont="1" applyFill="1" applyBorder="1" applyAlignment="1">
      <alignment horizontal="center"/>
    </xf>
    <xf numFmtId="164" fontId="3" fillId="6" borderId="62" xfId="0" applyNumberFormat="1" applyFont="1" applyFill="1" applyBorder="1" applyAlignment="1">
      <alignment horizontal="right"/>
    </xf>
    <xf numFmtId="0" fontId="4" fillId="6" borderId="53" xfId="0" applyFont="1" applyFill="1" applyBorder="1"/>
    <xf numFmtId="3" fontId="7" fillId="6" borderId="68" xfId="2" applyNumberFormat="1" applyFont="1" applyFill="1" applyBorder="1" applyAlignment="1">
      <alignment horizontal="center"/>
    </xf>
    <xf numFmtId="3" fontId="7" fillId="6" borderId="22" xfId="2" applyNumberFormat="1" applyFont="1" applyFill="1" applyBorder="1" applyAlignment="1">
      <alignment horizontal="center"/>
    </xf>
    <xf numFmtId="164" fontId="3" fillId="6" borderId="27" xfId="0" applyNumberFormat="1" applyFont="1" applyFill="1" applyBorder="1" applyAlignment="1">
      <alignment horizontal="right"/>
    </xf>
    <xf numFmtId="164" fontId="3" fillId="6" borderId="27" xfId="2" applyNumberFormat="1" applyFont="1" applyFill="1" applyBorder="1" applyAlignment="1">
      <alignment horizontal="right"/>
    </xf>
    <xf numFmtId="164" fontId="3" fillId="6" borderId="27" xfId="0" applyNumberFormat="1" applyFont="1" applyFill="1" applyBorder="1" applyAlignment="1">
      <alignment horizontal="center"/>
    </xf>
    <xf numFmtId="164" fontId="4" fillId="6" borderId="54" xfId="2" applyNumberFormat="1" applyFont="1" applyFill="1" applyBorder="1" applyAlignment="1">
      <alignment horizontal="center"/>
    </xf>
    <xf numFmtId="164" fontId="4" fillId="6" borderId="64" xfId="2" applyNumberFormat="1" applyFont="1" applyFill="1" applyBorder="1" applyAlignment="1"/>
    <xf numFmtId="164" fontId="4" fillId="6" borderId="64" xfId="2" applyNumberFormat="1" applyFont="1" applyFill="1" applyBorder="1" applyAlignment="1">
      <alignment horizontal="center"/>
    </xf>
    <xf numFmtId="164" fontId="4" fillId="6" borderId="55" xfId="2" applyNumberFormat="1" applyFont="1" applyFill="1" applyBorder="1"/>
    <xf numFmtId="0" fontId="4" fillId="6" borderId="61" xfId="0" applyFont="1" applyFill="1" applyBorder="1"/>
    <xf numFmtId="0" fontId="4" fillId="6" borderId="71" xfId="0" applyFont="1" applyFill="1" applyBorder="1"/>
    <xf numFmtId="0" fontId="8" fillId="6" borderId="54" xfId="0" applyFont="1" applyFill="1" applyBorder="1" applyAlignment="1">
      <alignment horizontal="center"/>
    </xf>
    <xf numFmtId="0" fontId="8" fillId="6" borderId="6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65" fontId="3" fillId="0" borderId="0" xfId="3" applyNumberFormat="1" applyFont="1" applyFill="1" applyBorder="1" applyAlignment="1">
      <alignment horizontal="center"/>
    </xf>
    <xf numFmtId="10" fontId="4" fillId="0" borderId="0" xfId="3" applyNumberFormat="1" applyFont="1" applyFill="1" applyBorder="1" applyAlignment="1">
      <alignment horizontal="center"/>
    </xf>
    <xf numFmtId="0" fontId="4" fillId="6" borderId="55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4" fillId="6" borderId="55" xfId="0" applyFont="1" applyFill="1" applyBorder="1" applyAlignment="1">
      <alignment horizontal="center"/>
    </xf>
    <xf numFmtId="164" fontId="7" fillId="6" borderId="19" xfId="2" applyNumberFormat="1" applyFont="1" applyFill="1" applyBorder="1" applyAlignment="1">
      <alignment horizontal="center"/>
    </xf>
    <xf numFmtId="165" fontId="3" fillId="6" borderId="6" xfId="3" applyNumberFormat="1" applyFont="1" applyFill="1" applyBorder="1" applyAlignment="1">
      <alignment horizontal="center"/>
    </xf>
    <xf numFmtId="164" fontId="7" fillId="6" borderId="18" xfId="2" applyNumberFormat="1" applyFont="1" applyFill="1" applyBorder="1" applyAlignment="1">
      <alignment horizontal="center"/>
    </xf>
    <xf numFmtId="165" fontId="3" fillId="6" borderId="20" xfId="3" applyNumberFormat="1" applyFont="1" applyFill="1" applyBorder="1" applyAlignment="1">
      <alignment horizontal="center"/>
    </xf>
    <xf numFmtId="165" fontId="3" fillId="6" borderId="16" xfId="3" applyNumberFormat="1" applyFont="1" applyFill="1" applyBorder="1" applyAlignment="1">
      <alignment horizontal="center"/>
    </xf>
    <xf numFmtId="164" fontId="7" fillId="6" borderId="25" xfId="2" applyNumberFormat="1" applyFont="1" applyFill="1" applyBorder="1" applyAlignment="1">
      <alignment horizontal="center"/>
    </xf>
    <xf numFmtId="165" fontId="3" fillId="6" borderId="1" xfId="3" applyNumberFormat="1" applyFont="1" applyFill="1" applyBorder="1" applyAlignment="1">
      <alignment horizontal="center"/>
    </xf>
    <xf numFmtId="164" fontId="7" fillId="6" borderId="57" xfId="2" applyNumberFormat="1" applyFont="1" applyFill="1" applyBorder="1" applyAlignment="1">
      <alignment horizontal="center"/>
    </xf>
    <xf numFmtId="164" fontId="8" fillId="6" borderId="64" xfId="2" applyNumberFormat="1" applyFont="1" applyFill="1" applyBorder="1" applyAlignment="1">
      <alignment horizontal="right"/>
    </xf>
    <xf numFmtId="165" fontId="4" fillId="6" borderId="72" xfId="3" applyNumberFormat="1" applyFont="1" applyFill="1" applyBorder="1" applyAlignment="1">
      <alignment horizontal="center"/>
    </xf>
    <xf numFmtId="164" fontId="8" fillId="6" borderId="54" xfId="2" applyNumberFormat="1" applyFont="1" applyFill="1" applyBorder="1" applyAlignment="1">
      <alignment horizontal="right"/>
    </xf>
    <xf numFmtId="0" fontId="4" fillId="6" borderId="72" xfId="0" applyFont="1" applyFill="1" applyBorder="1" applyAlignment="1">
      <alignment horizontal="center"/>
    </xf>
    <xf numFmtId="165" fontId="4" fillId="6" borderId="55" xfId="3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9" fontId="1" fillId="0" borderId="0" xfId="3" applyFont="1" applyFill="1"/>
    <xf numFmtId="0" fontId="45" fillId="0" borderId="0" xfId="0" applyFont="1" applyFill="1" applyBorder="1"/>
    <xf numFmtId="0" fontId="49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5" fillId="0" borderId="0" xfId="0" applyFont="1" applyFill="1" applyBorder="1"/>
    <xf numFmtId="164" fontId="45" fillId="3" borderId="22" xfId="2" applyNumberFormat="1" applyFont="1" applyFill="1" applyBorder="1" applyAlignment="1">
      <alignment horizontal="center"/>
    </xf>
    <xf numFmtId="165" fontId="45" fillId="3" borderId="22" xfId="0" applyNumberFormat="1" applyFont="1" applyFill="1" applyBorder="1" applyAlignment="1">
      <alignment horizontal="center"/>
    </xf>
    <xf numFmtId="164" fontId="45" fillId="3" borderId="19" xfId="2" applyNumberFormat="1" applyFont="1" applyFill="1" applyBorder="1" applyAlignment="1">
      <alignment horizontal="center"/>
    </xf>
    <xf numFmtId="165" fontId="45" fillId="3" borderId="19" xfId="0" applyNumberFormat="1" applyFont="1" applyFill="1" applyBorder="1" applyAlignment="1">
      <alignment horizontal="center"/>
    </xf>
    <xf numFmtId="166" fontId="45" fillId="3" borderId="20" xfId="0" applyNumberFormat="1" applyFont="1" applyFill="1" applyBorder="1" applyAlignment="1">
      <alignment horizontal="center"/>
    </xf>
    <xf numFmtId="0" fontId="49" fillId="3" borderId="54" xfId="0" applyFont="1" applyFill="1" applyBorder="1"/>
    <xf numFmtId="0" fontId="49" fillId="3" borderId="64" xfId="0" applyFont="1" applyFill="1" applyBorder="1" applyAlignment="1">
      <alignment horizontal="center" wrapText="1"/>
    </xf>
    <xf numFmtId="0" fontId="49" fillId="3" borderId="55" xfId="0" applyFont="1" applyFill="1" applyBorder="1" applyAlignment="1">
      <alignment horizontal="center"/>
    </xf>
    <xf numFmtId="164" fontId="45" fillId="3" borderId="8" xfId="2" applyNumberFormat="1" applyFont="1" applyFill="1" applyBorder="1" applyAlignment="1">
      <alignment horizontal="center"/>
    </xf>
    <xf numFmtId="164" fontId="45" fillId="3" borderId="68" xfId="2" applyNumberFormat="1" applyFont="1" applyFill="1" applyBorder="1" applyAlignment="1">
      <alignment horizontal="center"/>
    </xf>
    <xf numFmtId="0" fontId="49" fillId="3" borderId="69" xfId="0" applyFont="1" applyFill="1" applyBorder="1"/>
    <xf numFmtId="0" fontId="49" fillId="3" borderId="53" xfId="0" applyFont="1" applyFill="1" applyBorder="1"/>
    <xf numFmtId="0" fontId="49" fillId="3" borderId="71" xfId="0" applyFont="1" applyFill="1" applyBorder="1" applyAlignment="1">
      <alignment horizontal="left"/>
    </xf>
    <xf numFmtId="164" fontId="45" fillId="3" borderId="3" xfId="2" applyNumberFormat="1" applyFont="1" applyFill="1" applyBorder="1" applyAlignment="1">
      <alignment horizontal="center"/>
    </xf>
    <xf numFmtId="164" fontId="45" fillId="3" borderId="21" xfId="3" applyNumberFormat="1" applyFont="1" applyFill="1" applyBorder="1" applyAlignment="1">
      <alignment horizontal="center"/>
    </xf>
    <xf numFmtId="0" fontId="49" fillId="3" borderId="61" xfId="0" applyFont="1" applyFill="1" applyBorder="1"/>
    <xf numFmtId="164" fontId="50" fillId="3" borderId="70" xfId="0" applyNumberFormat="1" applyFont="1" applyFill="1" applyBorder="1"/>
    <xf numFmtId="164" fontId="50" fillId="3" borderId="64" xfId="0" applyNumberFormat="1" applyFont="1" applyFill="1" applyBorder="1"/>
    <xf numFmtId="165" fontId="45" fillId="3" borderId="64" xfId="0" applyNumberFormat="1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3" fillId="6" borderId="9" xfId="0" applyFont="1" applyFill="1" applyBorder="1"/>
    <xf numFmtId="0" fontId="8" fillId="6" borderId="70" xfId="0" quotePrefix="1" applyFont="1" applyFill="1" applyBorder="1" applyAlignment="1">
      <alignment horizontal="center"/>
    </xf>
    <xf numFmtId="0" fontId="8" fillId="6" borderId="64" xfId="0" quotePrefix="1" applyFont="1" applyFill="1" applyBorder="1" applyAlignment="1">
      <alignment horizontal="center"/>
    </xf>
    <xf numFmtId="0" fontId="4" fillId="6" borderId="17" xfId="0" applyFont="1" applyFill="1" applyBorder="1"/>
    <xf numFmtId="164" fontId="7" fillId="6" borderId="8" xfId="2" applyNumberFormat="1" applyFont="1" applyFill="1" applyBorder="1" applyAlignment="1">
      <alignment horizontal="right"/>
    </xf>
    <xf numFmtId="164" fontId="7" fillId="6" borderId="19" xfId="2" applyNumberFormat="1" applyFont="1" applyFill="1" applyBorder="1" applyAlignment="1">
      <alignment horizontal="right"/>
    </xf>
    <xf numFmtId="164" fontId="7" fillId="6" borderId="68" xfId="2" applyNumberFormat="1" applyFont="1" applyFill="1" applyBorder="1" applyAlignment="1">
      <alignment horizontal="right"/>
    </xf>
    <xf numFmtId="164" fontId="7" fillId="6" borderId="22" xfId="2" applyNumberFormat="1" applyFont="1" applyFill="1" applyBorder="1" applyAlignment="1">
      <alignment horizontal="right"/>
    </xf>
    <xf numFmtId="164" fontId="7" fillId="6" borderId="3" xfId="2" applyNumberFormat="1" applyFont="1" applyFill="1" applyBorder="1" applyAlignment="1">
      <alignment horizontal="right"/>
    </xf>
    <xf numFmtId="164" fontId="7" fillId="6" borderId="21" xfId="2" applyNumberFormat="1" applyFont="1" applyFill="1" applyBorder="1" applyAlignment="1">
      <alignment horizontal="right"/>
    </xf>
    <xf numFmtId="3" fontId="8" fillId="6" borderId="64" xfId="0" applyNumberFormat="1" applyFont="1" applyFill="1" applyBorder="1" applyAlignment="1">
      <alignment horizontal="right"/>
    </xf>
    <xf numFmtId="3" fontId="8" fillId="6" borderId="54" xfId="0" applyNumberFormat="1" applyFont="1" applyFill="1" applyBorder="1" applyAlignment="1">
      <alignment horizontal="center"/>
    </xf>
    <xf numFmtId="0" fontId="4" fillId="6" borderId="54" xfId="0" applyFont="1" applyFill="1" applyBorder="1" applyAlignment="1">
      <alignment horizontal="center"/>
    </xf>
    <xf numFmtId="164" fontId="46" fillId="6" borderId="63" xfId="5" applyNumberFormat="1" applyFont="1" applyFill="1" applyBorder="1"/>
    <xf numFmtId="164" fontId="46" fillId="6" borderId="63" xfId="0" applyNumberFormat="1" applyFont="1" applyFill="1" applyBorder="1" applyAlignment="1">
      <alignment horizontal="center"/>
    </xf>
    <xf numFmtId="164" fontId="3" fillId="6" borderId="66" xfId="5" applyNumberFormat="1" applyFont="1" applyFill="1" applyBorder="1" applyAlignment="1">
      <alignment horizontal="center"/>
    </xf>
    <xf numFmtId="164" fontId="3" fillId="6" borderId="63" xfId="5" applyNumberFormat="1" applyFont="1" applyFill="1" applyBorder="1" applyAlignment="1">
      <alignment horizontal="center"/>
    </xf>
    <xf numFmtId="164" fontId="46" fillId="6" borderId="22" xfId="5" applyNumberFormat="1" applyFont="1" applyFill="1" applyBorder="1"/>
    <xf numFmtId="164" fontId="46" fillId="6" borderId="22" xfId="0" applyNumberFormat="1" applyFont="1" applyFill="1" applyBorder="1" applyAlignment="1">
      <alignment horizontal="center"/>
    </xf>
    <xf numFmtId="164" fontId="3" fillId="6" borderId="25" xfId="5" applyNumberFormat="1" applyFont="1" applyFill="1" applyBorder="1" applyAlignment="1">
      <alignment horizontal="center"/>
    </xf>
    <xf numFmtId="164" fontId="3" fillId="6" borderId="22" xfId="5" applyNumberFormat="1" applyFont="1" applyFill="1" applyBorder="1" applyAlignment="1">
      <alignment horizontal="center"/>
    </xf>
    <xf numFmtId="164" fontId="46" fillId="6" borderId="21" xfId="5" applyNumberFormat="1" applyFont="1" applyFill="1" applyBorder="1"/>
    <xf numFmtId="164" fontId="46" fillId="6" borderId="21" xfId="0" applyNumberFormat="1" applyFont="1" applyFill="1" applyBorder="1" applyAlignment="1">
      <alignment horizontal="center"/>
    </xf>
    <xf numFmtId="164" fontId="3" fillId="6" borderId="57" xfId="5" applyNumberFormat="1" applyFont="1" applyFill="1" applyBorder="1" applyAlignment="1">
      <alignment horizontal="center"/>
    </xf>
    <xf numFmtId="164" fontId="3" fillId="6" borderId="21" xfId="5" applyNumberFormat="1" applyFont="1" applyFill="1" applyBorder="1" applyAlignment="1">
      <alignment horizontal="center"/>
    </xf>
    <xf numFmtId="164" fontId="47" fillId="6" borderId="64" xfId="0" applyNumberFormat="1" applyFont="1" applyFill="1" applyBorder="1"/>
    <xf numFmtId="164" fontId="47" fillId="6" borderId="64" xfId="5" applyNumberFormat="1" applyFont="1" applyFill="1" applyBorder="1" applyAlignment="1">
      <alignment horizontal="center"/>
    </xf>
    <xf numFmtId="164" fontId="4" fillId="6" borderId="54" xfId="5" applyNumberFormat="1" applyFont="1" applyFill="1" applyBorder="1" applyAlignment="1">
      <alignment horizontal="center"/>
    </xf>
    <xf numFmtId="164" fontId="4" fillId="6" borderId="64" xfId="5" applyNumberFormat="1" applyFont="1" applyFill="1" applyBorder="1" applyAlignment="1">
      <alignment horizontal="center"/>
    </xf>
    <xf numFmtId="0" fontId="49" fillId="6" borderId="26" xfId="0" applyFont="1" applyFill="1" applyBorder="1" applyAlignment="1">
      <alignment horizontal="center"/>
    </xf>
    <xf numFmtId="0" fontId="49" fillId="6" borderId="17" xfId="0" applyFont="1" applyFill="1" applyBorder="1"/>
    <xf numFmtId="165" fontId="45" fillId="6" borderId="19" xfId="0" applyNumberFormat="1" applyFont="1" applyFill="1" applyBorder="1" applyAlignment="1">
      <alignment horizontal="center"/>
    </xf>
    <xf numFmtId="166" fontId="45" fillId="6" borderId="20" xfId="3" applyNumberFormat="1" applyFont="1" applyFill="1" applyBorder="1" applyAlignment="1">
      <alignment horizontal="center"/>
    </xf>
    <xf numFmtId="0" fontId="49" fillId="6" borderId="53" xfId="0" applyFont="1" applyFill="1" applyBorder="1"/>
    <xf numFmtId="166" fontId="45" fillId="6" borderId="27" xfId="3" applyNumberFormat="1" applyFont="1" applyFill="1" applyBorder="1" applyAlignment="1">
      <alignment horizontal="center"/>
    </xf>
    <xf numFmtId="164" fontId="3" fillId="6" borderId="22" xfId="2" applyNumberFormat="1" applyFont="1" applyFill="1" applyBorder="1"/>
    <xf numFmtId="164" fontId="3" fillId="6" borderId="22" xfId="0" applyNumberFormat="1" applyFont="1" applyFill="1" applyBorder="1" applyAlignment="1">
      <alignment horizontal="center"/>
    </xf>
    <xf numFmtId="0" fontId="37" fillId="6" borderId="61" xfId="0" applyFont="1" applyFill="1" applyBorder="1"/>
    <xf numFmtId="0" fontId="37" fillId="6" borderId="64" xfId="0" applyFont="1" applyFill="1" applyBorder="1" applyAlignment="1">
      <alignment horizontal="center"/>
    </xf>
    <xf numFmtId="0" fontId="37" fillId="6" borderId="55" xfId="0" applyFont="1" applyFill="1" applyBorder="1"/>
    <xf numFmtId="0" fontId="37" fillId="6" borderId="17" xfId="0" applyFont="1" applyFill="1" applyBorder="1"/>
    <xf numFmtId="1" fontId="48" fillId="6" borderId="19" xfId="0" applyNumberFormat="1" applyFont="1" applyFill="1" applyBorder="1" applyAlignment="1">
      <alignment horizontal="center"/>
    </xf>
    <xf numFmtId="165" fontId="48" fillId="6" borderId="20" xfId="3" applyNumberFormat="1" applyFont="1" applyFill="1" applyBorder="1"/>
    <xf numFmtId="0" fontId="37" fillId="6" borderId="53" xfId="0" applyFont="1" applyFill="1" applyBorder="1"/>
    <xf numFmtId="1" fontId="48" fillId="6" borderId="22" xfId="0" applyNumberFormat="1" applyFont="1" applyFill="1" applyBorder="1" applyAlignment="1">
      <alignment horizontal="center"/>
    </xf>
    <xf numFmtId="165" fontId="48" fillId="6" borderId="27" xfId="3" applyNumberFormat="1" applyFont="1" applyFill="1" applyBorder="1"/>
    <xf numFmtId="0" fontId="49" fillId="6" borderId="28" xfId="0" applyFont="1" applyFill="1" applyBorder="1" applyAlignment="1">
      <alignment horizontal="center"/>
    </xf>
    <xf numFmtId="49" fontId="49" fillId="6" borderId="29" xfId="0" applyNumberFormat="1" applyFont="1" applyFill="1" applyBorder="1" applyAlignment="1">
      <alignment horizontal="center"/>
    </xf>
    <xf numFmtId="0" fontId="49" fillId="6" borderId="31" xfId="0" applyFont="1" applyFill="1" applyBorder="1" applyAlignment="1">
      <alignment horizontal="left"/>
    </xf>
    <xf numFmtId="0" fontId="49" fillId="6" borderId="33" xfId="0" applyFont="1" applyFill="1" applyBorder="1" applyAlignment="1">
      <alignment horizontal="center"/>
    </xf>
    <xf numFmtId="0" fontId="50" fillId="6" borderId="18" xfId="0" applyFont="1" applyFill="1" applyBorder="1"/>
    <xf numFmtId="3" fontId="45" fillId="6" borderId="19" xfId="0" applyNumberFormat="1" applyFont="1" applyFill="1" applyBorder="1"/>
    <xf numFmtId="165" fontId="45" fillId="6" borderId="20" xfId="3" applyNumberFormat="1" applyFont="1" applyFill="1" applyBorder="1" applyAlignment="1">
      <alignment horizontal="center"/>
    </xf>
    <xf numFmtId="0" fontId="50" fillId="6" borderId="25" xfId="0" applyFont="1" applyFill="1" applyBorder="1"/>
    <xf numFmtId="165" fontId="45" fillId="6" borderId="27" xfId="3" applyNumberFormat="1" applyFont="1" applyFill="1" applyBorder="1" applyAlignment="1">
      <alignment horizontal="center"/>
    </xf>
    <xf numFmtId="3" fontId="46" fillId="2" borderId="16" xfId="0" applyNumberFormat="1" applyFont="1" applyFill="1" applyBorder="1"/>
    <xf numFmtId="164" fontId="46" fillId="2" borderId="27" xfId="5" applyNumberFormat="1" applyFont="1" applyFill="1" applyBorder="1" applyAlignment="1">
      <alignment horizontal="center"/>
    </xf>
    <xf numFmtId="3" fontId="46" fillId="2" borderId="1" xfId="0" applyNumberFormat="1" applyFont="1" applyFill="1" applyBorder="1"/>
    <xf numFmtId="3" fontId="47" fillId="2" borderId="72" xfId="0" applyNumberFormat="1" applyFont="1" applyFill="1" applyBorder="1"/>
    <xf numFmtId="164" fontId="4" fillId="2" borderId="64" xfId="2" applyNumberFormat="1" applyFont="1" applyFill="1" applyBorder="1"/>
    <xf numFmtId="164" fontId="4" fillId="2" borderId="55" xfId="2" applyNumberFormat="1" applyFont="1" applyFill="1" applyBorder="1"/>
    <xf numFmtId="0" fontId="4" fillId="2" borderId="55" xfId="0" applyFont="1" applyFill="1" applyBorder="1" applyAlignment="1">
      <alignment horizontal="center"/>
    </xf>
    <xf numFmtId="0" fontId="46" fillId="2" borderId="9" xfId="0" applyFont="1" applyFill="1" applyBorder="1"/>
    <xf numFmtId="0" fontId="4" fillId="2" borderId="53" xfId="0" applyFont="1" applyFill="1" applyBorder="1"/>
    <xf numFmtId="0" fontId="4" fillId="2" borderId="71" xfId="0" applyFont="1" applyFill="1" applyBorder="1"/>
    <xf numFmtId="0" fontId="4" fillId="2" borderId="61" xfId="0" applyFont="1" applyFill="1" applyBorder="1" applyAlignment="1">
      <alignment horizontal="right"/>
    </xf>
    <xf numFmtId="0" fontId="4" fillId="2" borderId="17" xfId="0" applyFont="1" applyFill="1" applyBorder="1"/>
    <xf numFmtId="3" fontId="46" fillId="2" borderId="6" xfId="0" applyNumberFormat="1" applyFont="1" applyFill="1" applyBorder="1"/>
    <xf numFmtId="164" fontId="46" fillId="2" borderId="19" xfId="5" applyNumberFormat="1" applyFont="1" applyFill="1" applyBorder="1"/>
    <xf numFmtId="164" fontId="46" fillId="2" borderId="20" xfId="5" applyNumberFormat="1" applyFont="1" applyFill="1" applyBorder="1" applyAlignment="1">
      <alignment horizontal="center"/>
    </xf>
    <xf numFmtId="0" fontId="46" fillId="6" borderId="23" xfId="0" applyFont="1" applyFill="1" applyBorder="1"/>
    <xf numFmtId="0" fontId="4" fillId="6" borderId="26" xfId="0" applyFont="1" applyFill="1" applyBorder="1" applyAlignment="1">
      <alignment horizontal="center"/>
    </xf>
    <xf numFmtId="167" fontId="46" fillId="6" borderId="19" xfId="1" applyNumberFormat="1" applyFont="1" applyFill="1" applyBorder="1"/>
    <xf numFmtId="9" fontId="46" fillId="6" borderId="20" xfId="3" applyNumberFormat="1" applyFont="1" applyFill="1" applyBorder="1" applyAlignment="1">
      <alignment horizontal="center"/>
    </xf>
    <xf numFmtId="167" fontId="46" fillId="6" borderId="22" xfId="1" applyNumberFormat="1" applyFont="1" applyFill="1" applyBorder="1"/>
    <xf numFmtId="167" fontId="46" fillId="6" borderId="21" xfId="1" applyNumberFormat="1" applyFont="1" applyFill="1" applyBorder="1"/>
    <xf numFmtId="167" fontId="46" fillId="6" borderId="54" xfId="1" applyNumberFormat="1" applyFont="1" applyFill="1" applyBorder="1"/>
    <xf numFmtId="167" fontId="46" fillId="6" borderId="64" xfId="1" applyNumberFormat="1" applyFont="1" applyFill="1" applyBorder="1"/>
    <xf numFmtId="9" fontId="46" fillId="6" borderId="55" xfId="3" applyFont="1" applyFill="1" applyBorder="1" applyAlignment="1">
      <alignment horizontal="center"/>
    </xf>
    <xf numFmtId="0" fontId="8" fillId="6" borderId="54" xfId="0" quotePrefix="1" applyFont="1" applyFill="1" applyBorder="1" applyAlignment="1">
      <alignment horizontal="center"/>
    </xf>
    <xf numFmtId="0" fontId="49" fillId="6" borderId="71" xfId="0" applyFont="1" applyFill="1" applyBorder="1"/>
    <xf numFmtId="166" fontId="45" fillId="6" borderId="58" xfId="3" applyNumberFormat="1" applyFont="1" applyFill="1" applyBorder="1" applyAlignment="1">
      <alignment horizontal="center"/>
    </xf>
    <xf numFmtId="0" fontId="9" fillId="6" borderId="61" xfId="0" applyFont="1" applyFill="1" applyBorder="1" applyAlignment="1">
      <alignment horizontal="right"/>
    </xf>
    <xf numFmtId="165" fontId="49" fillId="6" borderId="70" xfId="3" applyNumberFormat="1" applyFont="1" applyFill="1" applyBorder="1" applyAlignment="1">
      <alignment horizontal="center"/>
    </xf>
    <xf numFmtId="165" fontId="49" fillId="6" borderId="64" xfId="3" applyNumberFormat="1" applyFont="1" applyFill="1" applyBorder="1" applyAlignment="1">
      <alignment horizontal="center"/>
    </xf>
    <xf numFmtId="2" fontId="49" fillId="6" borderId="55" xfId="3" applyNumberFormat="1" applyFont="1" applyFill="1" applyBorder="1" applyAlignment="1">
      <alignment horizontal="center"/>
    </xf>
    <xf numFmtId="164" fontId="3" fillId="6" borderId="19" xfId="2" applyNumberFormat="1" applyFont="1" applyFill="1" applyBorder="1"/>
    <xf numFmtId="164" fontId="3" fillId="6" borderId="19" xfId="0" applyNumberFormat="1" applyFont="1" applyFill="1" applyBorder="1" applyAlignment="1">
      <alignment horizontal="center"/>
    </xf>
    <xf numFmtId="164" fontId="3" fillId="6" borderId="21" xfId="2" applyNumberFormat="1" applyFont="1" applyFill="1" applyBorder="1"/>
    <xf numFmtId="0" fontId="4" fillId="6" borderId="61" xfId="0" applyFont="1" applyFill="1" applyBorder="1" applyAlignment="1">
      <alignment horizontal="left"/>
    </xf>
    <xf numFmtId="164" fontId="4" fillId="6" borderId="64" xfId="0" applyNumberFormat="1" applyFont="1" applyFill="1" applyBorder="1"/>
    <xf numFmtId="0" fontId="8" fillId="6" borderId="72" xfId="0" applyFont="1" applyFill="1" applyBorder="1" applyAlignment="1">
      <alignment horizontal="center" vertical="center" wrapText="1"/>
    </xf>
    <xf numFmtId="165" fontId="3" fillId="6" borderId="65" xfId="3" applyNumberFormat="1" applyFont="1" applyFill="1" applyBorder="1" applyAlignment="1">
      <alignment horizontal="center"/>
    </xf>
    <xf numFmtId="164" fontId="7" fillId="6" borderId="66" xfId="2" applyNumberFormat="1" applyFont="1" applyFill="1" applyBorder="1" applyAlignment="1">
      <alignment horizontal="center"/>
    </xf>
    <xf numFmtId="165" fontId="8" fillId="6" borderId="55" xfId="3" applyNumberFormat="1" applyFont="1" applyFill="1" applyBorder="1" applyAlignment="1">
      <alignment horizontal="center"/>
    </xf>
    <xf numFmtId="165" fontId="4" fillId="6" borderId="62" xfId="3" applyNumberFormat="1" applyFont="1" applyFill="1" applyBorder="1" applyAlignment="1">
      <alignment horizontal="center"/>
    </xf>
    <xf numFmtId="0" fontId="50" fillId="6" borderId="57" xfId="0" applyFont="1" applyFill="1" applyBorder="1"/>
    <xf numFmtId="165" fontId="45" fillId="6" borderId="58" xfId="3" applyNumberFormat="1" applyFont="1" applyFill="1" applyBorder="1" applyAlignment="1">
      <alignment horizontal="center"/>
    </xf>
    <xf numFmtId="0" fontId="50" fillId="6" borderId="54" xfId="0" applyFont="1" applyFill="1" applyBorder="1" applyAlignment="1">
      <alignment horizontal="right"/>
    </xf>
    <xf numFmtId="164" fontId="50" fillId="6" borderId="64" xfId="2" applyNumberFormat="1" applyFont="1" applyFill="1" applyBorder="1"/>
    <xf numFmtId="0" fontId="46" fillId="2" borderId="0" xfId="0" applyFont="1" applyFill="1"/>
    <xf numFmtId="167" fontId="46" fillId="2" borderId="0" xfId="1" applyNumberFormat="1" applyFont="1" applyFill="1"/>
    <xf numFmtId="167" fontId="46" fillId="2" borderId="0" xfId="0" applyNumberFormat="1" applyFont="1" applyFill="1"/>
    <xf numFmtId="165" fontId="46" fillId="6" borderId="64" xfId="3" applyNumberFormat="1" applyFont="1" applyFill="1" applyBorder="1" applyAlignment="1">
      <alignment horizontal="center"/>
    </xf>
    <xf numFmtId="0" fontId="46" fillId="6" borderId="66" xfId="0" applyFont="1" applyFill="1" applyBorder="1"/>
    <xf numFmtId="167" fontId="46" fillId="6" borderId="70" xfId="1" applyNumberFormat="1" applyFont="1" applyFill="1" applyBorder="1"/>
    <xf numFmtId="165" fontId="46" fillId="6" borderId="55" xfId="3" applyNumberFormat="1" applyFont="1" applyFill="1" applyBorder="1" applyAlignment="1">
      <alignment horizontal="center"/>
    </xf>
    <xf numFmtId="0" fontId="15" fillId="0" borderId="76" xfId="0" applyFont="1" applyBorder="1" applyAlignment="1">
      <alignment horizontal="center"/>
    </xf>
    <xf numFmtId="44" fontId="22" fillId="0" borderId="6" xfId="0" applyNumberFormat="1" applyFont="1" applyBorder="1" applyAlignment="1">
      <alignment horizontal="center"/>
    </xf>
    <xf numFmtId="44" fontId="23" fillId="0" borderId="81" xfId="0" applyNumberFormat="1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44" fontId="22" fillId="0" borderId="18" xfId="0" applyNumberFormat="1" applyFont="1" applyBorder="1" applyAlignment="1">
      <alignment horizontal="center"/>
    </xf>
    <xf numFmtId="44" fontId="23" fillId="0" borderId="82" xfId="0" applyNumberFormat="1" applyFont="1" applyBorder="1" applyAlignment="1">
      <alignment horizontal="center"/>
    </xf>
    <xf numFmtId="0" fontId="45" fillId="7" borderId="78" xfId="0" applyFont="1" applyFill="1" applyBorder="1" applyAlignment="1">
      <alignment horizontal="center"/>
    </xf>
    <xf numFmtId="0" fontId="45" fillId="7" borderId="79" xfId="0" applyFont="1" applyFill="1" applyBorder="1" applyAlignment="1">
      <alignment horizontal="center"/>
    </xf>
    <xf numFmtId="0" fontId="45" fillId="7" borderId="80" xfId="0" applyFont="1" applyFill="1" applyBorder="1" applyAlignment="1">
      <alignment horizontal="center"/>
    </xf>
    <xf numFmtId="44" fontId="22" fillId="0" borderId="6" xfId="0" applyNumberFormat="1" applyFont="1" applyFill="1" applyBorder="1" applyAlignment="1">
      <alignment horizontal="center"/>
    </xf>
    <xf numFmtId="0" fontId="4" fillId="6" borderId="38" xfId="0" applyFont="1" applyFill="1" applyBorder="1"/>
    <xf numFmtId="0" fontId="4" fillId="6" borderId="75" xfId="0" applyFont="1" applyFill="1" applyBorder="1"/>
    <xf numFmtId="0" fontId="4" fillId="6" borderId="83" xfId="0" applyFont="1" applyFill="1" applyBorder="1"/>
    <xf numFmtId="0" fontId="4" fillId="6" borderId="84" xfId="0" applyFont="1" applyFill="1" applyBorder="1"/>
    <xf numFmtId="0" fontId="4" fillId="6" borderId="38" xfId="0" applyFont="1" applyFill="1" applyBorder="1" applyAlignment="1">
      <alignment horizontal="right"/>
    </xf>
    <xf numFmtId="0" fontId="8" fillId="6" borderId="55" xfId="0" applyFont="1" applyFill="1" applyBorder="1" applyAlignment="1">
      <alignment horizontal="center"/>
    </xf>
    <xf numFmtId="164" fontId="46" fillId="6" borderId="66" xfId="5" applyNumberFormat="1" applyFont="1" applyFill="1" applyBorder="1"/>
    <xf numFmtId="165" fontId="7" fillId="6" borderId="62" xfId="3" applyNumberFormat="1" applyFont="1" applyFill="1" applyBorder="1" applyAlignment="1">
      <alignment horizontal="center"/>
    </xf>
    <xf numFmtId="164" fontId="46" fillId="6" borderId="25" xfId="5" applyNumberFormat="1" applyFont="1" applyFill="1" applyBorder="1"/>
    <xf numFmtId="165" fontId="7" fillId="6" borderId="27" xfId="3" applyNumberFormat="1" applyFont="1" applyFill="1" applyBorder="1" applyAlignment="1">
      <alignment horizontal="center"/>
    </xf>
    <xf numFmtId="164" fontId="46" fillId="6" borderId="57" xfId="5" applyNumberFormat="1" applyFont="1" applyFill="1" applyBorder="1"/>
    <xf numFmtId="165" fontId="7" fillId="6" borderId="58" xfId="3" applyNumberFormat="1" applyFont="1" applyFill="1" applyBorder="1" applyAlignment="1">
      <alignment horizontal="center"/>
    </xf>
    <xf numFmtId="164" fontId="47" fillId="6" borderId="54" xfId="0" applyNumberFormat="1" applyFont="1" applyFill="1" applyBorder="1"/>
    <xf numFmtId="0" fontId="4" fillId="6" borderId="85" xfId="0" applyFont="1" applyFill="1" applyBorder="1"/>
    <xf numFmtId="0" fontId="49" fillId="6" borderId="77" xfId="0" applyFont="1" applyFill="1" applyBorder="1" applyAlignment="1">
      <alignment horizontal="center"/>
    </xf>
    <xf numFmtId="0" fontId="49" fillId="6" borderId="61" xfId="0" applyFont="1" applyFill="1" applyBorder="1" applyAlignment="1"/>
    <xf numFmtId="49" fontId="51" fillId="0" borderId="0" xfId="0" applyNumberFormat="1" applyFont="1" applyAlignment="1">
      <alignment horizontal="center"/>
    </xf>
    <xf numFmtId="0" fontId="45" fillId="0" borderId="0" xfId="0" applyFont="1"/>
    <xf numFmtId="0" fontId="52" fillId="0" borderId="0" xfId="0" applyFont="1"/>
    <xf numFmtId="0" fontId="34" fillId="0" borderId="0" xfId="0" applyFont="1" applyAlignment="1">
      <alignment horizontal="center" vertical="center" wrapText="1"/>
    </xf>
    <xf numFmtId="166" fontId="45" fillId="0" borderId="0" xfId="3" applyNumberFormat="1" applyFont="1" applyFill="1" applyBorder="1" applyAlignment="1">
      <alignment horizontal="center"/>
    </xf>
    <xf numFmtId="2" fontId="49" fillId="0" borderId="0" xfId="3" applyNumberFormat="1" applyFont="1" applyFill="1" applyBorder="1" applyAlignment="1">
      <alignment horizontal="center"/>
    </xf>
    <xf numFmtId="1" fontId="2" fillId="6" borderId="22" xfId="1" applyNumberFormat="1" applyFont="1" applyFill="1" applyBorder="1" applyAlignment="1">
      <alignment horizontal="center"/>
    </xf>
    <xf numFmtId="1" fontId="10" fillId="6" borderId="27" xfId="0" applyNumberFormat="1" applyFont="1" applyFill="1" applyBorder="1" applyAlignment="1">
      <alignment horizontal="center"/>
    </xf>
    <xf numFmtId="1" fontId="2" fillId="6" borderId="19" xfId="1" applyNumberFormat="1" applyFont="1" applyFill="1" applyBorder="1" applyAlignment="1">
      <alignment horizontal="center"/>
    </xf>
    <xf numFmtId="1" fontId="10" fillId="6" borderId="20" xfId="0" applyNumberFormat="1" applyFont="1" applyFill="1" applyBorder="1" applyAlignment="1">
      <alignment horizontal="center"/>
    </xf>
    <xf numFmtId="0" fontId="2" fillId="6" borderId="54" xfId="0" applyFont="1" applyFill="1" applyBorder="1"/>
    <xf numFmtId="0" fontId="10" fillId="6" borderId="64" xfId="0" applyFont="1" applyFill="1" applyBorder="1" applyAlignment="1">
      <alignment horizontal="center"/>
    </xf>
    <xf numFmtId="0" fontId="10" fillId="6" borderId="55" xfId="0" applyFont="1" applyFill="1" applyBorder="1" applyAlignment="1">
      <alignment horizontal="center"/>
    </xf>
    <xf numFmtId="0" fontId="10" fillId="6" borderId="69" xfId="0" applyFont="1" applyFill="1" applyBorder="1"/>
    <xf numFmtId="0" fontId="10" fillId="6" borderId="53" xfId="0" applyFont="1" applyFill="1" applyBorder="1"/>
    <xf numFmtId="0" fontId="10" fillId="6" borderId="71" xfId="0" applyFont="1" applyFill="1" applyBorder="1"/>
    <xf numFmtId="1" fontId="2" fillId="6" borderId="21" xfId="1" applyNumberFormat="1" applyFont="1" applyFill="1" applyBorder="1" applyAlignment="1">
      <alignment horizontal="center"/>
    </xf>
    <xf numFmtId="1" fontId="10" fillId="6" borderId="58" xfId="0" applyNumberFormat="1" applyFont="1" applyFill="1" applyBorder="1" applyAlignment="1">
      <alignment horizontal="center"/>
    </xf>
    <xf numFmtId="0" fontId="10" fillId="6" borderId="61" xfId="0" applyFont="1" applyFill="1" applyBorder="1"/>
    <xf numFmtId="1" fontId="10" fillId="6" borderId="70" xfId="1" applyNumberFormat="1" applyFont="1" applyFill="1" applyBorder="1" applyAlignment="1">
      <alignment horizontal="center"/>
    </xf>
    <xf numFmtId="1" fontId="10" fillId="6" borderId="64" xfId="1" applyNumberFormat="1" applyFont="1" applyFill="1" applyBorder="1" applyAlignment="1">
      <alignment horizontal="center"/>
    </xf>
    <xf numFmtId="1" fontId="10" fillId="6" borderId="55" xfId="0" applyNumberFormat="1" applyFont="1" applyFill="1" applyBorder="1" applyAlignment="1">
      <alignment horizontal="center"/>
    </xf>
    <xf numFmtId="0" fontId="37" fillId="6" borderId="71" xfId="0" applyFont="1" applyFill="1" applyBorder="1"/>
    <xf numFmtId="1" fontId="48" fillId="6" borderId="21" xfId="0" applyNumberFormat="1" applyFont="1" applyFill="1" applyBorder="1" applyAlignment="1">
      <alignment horizontal="center"/>
    </xf>
    <xf numFmtId="0" fontId="37" fillId="6" borderId="61" xfId="0" applyFont="1" applyFill="1" applyBorder="1" applyAlignment="1"/>
    <xf numFmtId="1" fontId="37" fillId="6" borderId="64" xfId="0" applyNumberFormat="1" applyFont="1" applyFill="1" applyBorder="1" applyAlignment="1">
      <alignment horizontal="center"/>
    </xf>
    <xf numFmtId="165" fontId="37" fillId="6" borderId="55" xfId="3" applyNumberFormat="1" applyFont="1" applyFill="1" applyBorder="1"/>
    <xf numFmtId="3" fontId="29" fillId="0" borderId="86" xfId="0" applyNumberFormat="1" applyFont="1" applyBorder="1" applyAlignment="1">
      <alignment horizontal="center"/>
    </xf>
    <xf numFmtId="3" fontId="29" fillId="0" borderId="87" xfId="0" applyNumberFormat="1" applyFont="1" applyBorder="1" applyAlignment="1">
      <alignment horizontal="center"/>
    </xf>
    <xf numFmtId="3" fontId="29" fillId="0" borderId="88" xfId="0" applyNumberFormat="1" applyFont="1" applyBorder="1" applyAlignment="1">
      <alignment horizontal="center"/>
    </xf>
    <xf numFmtId="3" fontId="29" fillId="0" borderId="25" xfId="0" applyNumberFormat="1" applyFont="1" applyBorder="1" applyAlignment="1">
      <alignment horizontal="center"/>
    </xf>
    <xf numFmtId="3" fontId="29" fillId="0" borderId="22" xfId="0" applyNumberFormat="1" applyFont="1" applyBorder="1" applyAlignment="1">
      <alignment horizontal="center"/>
    </xf>
    <xf numFmtId="3" fontId="29" fillId="0" borderId="22" xfId="0" applyNumberFormat="1" applyFont="1" applyFill="1" applyBorder="1" applyAlignment="1">
      <alignment horizontal="center"/>
    </xf>
    <xf numFmtId="3" fontId="29" fillId="0" borderId="89" xfId="0" applyNumberFormat="1" applyFont="1" applyBorder="1" applyAlignment="1">
      <alignment horizontal="center"/>
    </xf>
    <xf numFmtId="3" fontId="29" fillId="0" borderId="36" xfId="0" applyNumberFormat="1" applyFont="1" applyBorder="1" applyAlignment="1">
      <alignment horizontal="center"/>
    </xf>
    <xf numFmtId="3" fontId="29" fillId="0" borderId="82" xfId="0" applyNumberFormat="1" applyFont="1" applyBorder="1" applyAlignment="1">
      <alignment horizontal="center"/>
    </xf>
    <xf numFmtId="3" fontId="29" fillId="0" borderId="37" xfId="0" applyNumberFormat="1" applyFont="1" applyBorder="1" applyAlignment="1">
      <alignment horizontal="center"/>
    </xf>
    <xf numFmtId="3" fontId="29" fillId="0" borderId="90" xfId="0" applyNumberFormat="1" applyFont="1" applyBorder="1" applyAlignment="1">
      <alignment horizontal="center"/>
    </xf>
    <xf numFmtId="3" fontId="29" fillId="0" borderId="87" xfId="0" applyNumberFormat="1" applyFont="1" applyBorder="1" applyAlignment="1" applyProtection="1">
      <alignment horizontal="center"/>
    </xf>
    <xf numFmtId="164" fontId="29" fillId="0" borderId="87" xfId="5" applyNumberFormat="1" applyFont="1" applyBorder="1"/>
    <xf numFmtId="3" fontId="29" fillId="0" borderId="22" xfId="0" applyNumberFormat="1" applyFont="1" applyBorder="1" applyAlignment="1" applyProtection="1">
      <alignment horizontal="center"/>
    </xf>
    <xf numFmtId="164" fontId="29" fillId="0" borderId="22" xfId="5" applyNumberFormat="1" applyFont="1" applyBorder="1"/>
    <xf numFmtId="164" fontId="29" fillId="0" borderId="36" xfId="5" applyNumberFormat="1" applyFont="1" applyBorder="1"/>
    <xf numFmtId="164" fontId="29" fillId="0" borderId="37" xfId="5" applyNumberFormat="1" applyFont="1" applyBorder="1"/>
    <xf numFmtId="0" fontId="20" fillId="0" borderId="7" xfId="0" applyFont="1" applyBorder="1" applyAlignment="1">
      <alignment horizontal="center"/>
    </xf>
    <xf numFmtId="0" fontId="20" fillId="0" borderId="59" xfId="0" applyFont="1" applyBorder="1" applyAlignment="1">
      <alignment horizontal="center"/>
    </xf>
    <xf numFmtId="0" fontId="20" fillId="0" borderId="79" xfId="0" applyFont="1" applyBorder="1" applyAlignment="1">
      <alignment horizontal="center"/>
    </xf>
    <xf numFmtId="0" fontId="19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9" fillId="0" borderId="0" xfId="0" applyFont="1" applyBorder="1" applyAlignment="1"/>
    <xf numFmtId="0" fontId="19" fillId="0" borderId="34" xfId="0" applyFont="1" applyBorder="1" applyAlignment="1">
      <alignment horizontal="center" vertical="center"/>
    </xf>
    <xf numFmtId="3" fontId="20" fillId="0" borderId="27" xfId="0" applyNumberFormat="1" applyFont="1" applyBorder="1" applyAlignment="1">
      <alignment horizontal="center"/>
    </xf>
    <xf numFmtId="3" fontId="20" fillId="0" borderId="26" xfId="0" applyNumberFormat="1" applyFont="1" applyBorder="1" applyAlignment="1">
      <alignment horizontal="center"/>
    </xf>
    <xf numFmtId="0" fontId="31" fillId="0" borderId="0" xfId="0" applyFont="1" applyAlignment="1"/>
    <xf numFmtId="0" fontId="30" fillId="0" borderId="0" xfId="0" applyFont="1" applyAlignment="1"/>
    <xf numFmtId="0" fontId="4" fillId="6" borderId="29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165" fontId="4" fillId="6" borderId="27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3" fillId="6" borderId="91" xfId="3" applyNumberFormat="1" applyFont="1" applyFill="1" applyBorder="1" applyAlignment="1">
      <alignment horizontal="center"/>
    </xf>
    <xf numFmtId="165" fontId="4" fillId="6" borderId="58" xfId="3" applyNumberFormat="1" applyFont="1" applyFill="1" applyBorder="1" applyAlignment="1">
      <alignment horizontal="center"/>
    </xf>
    <xf numFmtId="0" fontId="36" fillId="0" borderId="0" xfId="0" applyFont="1" applyAlignment="1"/>
    <xf numFmtId="49" fontId="36" fillId="0" borderId="0" xfId="0" applyNumberFormat="1" applyFont="1" applyAlignment="1"/>
    <xf numFmtId="165" fontId="23" fillId="0" borderId="34" xfId="3" applyNumberFormat="1" applyFont="1" applyBorder="1" applyAlignment="1">
      <alignment horizontal="center"/>
    </xf>
    <xf numFmtId="0" fontId="0" fillId="8" borderId="0" xfId="0" applyFill="1" applyAlignment="1">
      <alignment horizontal="center"/>
    </xf>
    <xf numFmtId="164" fontId="3" fillId="9" borderId="22" xfId="2" applyNumberFormat="1" applyFont="1" applyFill="1" applyBorder="1"/>
    <xf numFmtId="0" fontId="3" fillId="6" borderId="22" xfId="0" applyFont="1" applyFill="1" applyBorder="1"/>
    <xf numFmtId="165" fontId="50" fillId="10" borderId="55" xfId="3" applyNumberFormat="1" applyFont="1" applyFill="1" applyBorder="1" applyAlignment="1">
      <alignment horizontal="center"/>
    </xf>
    <xf numFmtId="167" fontId="46" fillId="11" borderId="22" xfId="1" applyNumberFormat="1" applyFont="1" applyFill="1" applyBorder="1"/>
    <xf numFmtId="165" fontId="46" fillId="11" borderId="19" xfId="3" applyNumberFormat="1" applyFont="1" applyFill="1" applyBorder="1" applyAlignment="1">
      <alignment horizontal="center"/>
    </xf>
    <xf numFmtId="165" fontId="46" fillId="11" borderId="20" xfId="3" applyNumberFormat="1" applyFont="1" applyFill="1" applyBorder="1" applyAlignment="1">
      <alignment horizontal="center"/>
    </xf>
    <xf numFmtId="167" fontId="46" fillId="11" borderId="21" xfId="1" applyNumberFormat="1" applyFont="1" applyFill="1" applyBorder="1"/>
    <xf numFmtId="165" fontId="46" fillId="11" borderId="21" xfId="3" applyNumberFormat="1" applyFont="1" applyFill="1" applyBorder="1" applyAlignment="1">
      <alignment horizontal="center"/>
    </xf>
    <xf numFmtId="167" fontId="0" fillId="0" borderId="0" xfId="0" applyNumberFormat="1"/>
    <xf numFmtId="9" fontId="0" fillId="0" borderId="0" xfId="0" applyNumberFormat="1"/>
    <xf numFmtId="0" fontId="4" fillId="6" borderId="76" xfId="0" applyFont="1" applyFill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167" fontId="46" fillId="11" borderId="6" xfId="1" applyNumberFormat="1" applyFont="1" applyFill="1" applyBorder="1"/>
    <xf numFmtId="167" fontId="46" fillId="11" borderId="16" xfId="1" applyNumberFormat="1" applyFont="1" applyFill="1" applyBorder="1"/>
    <xf numFmtId="0" fontId="46" fillId="0" borderId="0" xfId="0" applyFont="1" applyFill="1" applyBorder="1"/>
    <xf numFmtId="0" fontId="4" fillId="0" borderId="0" xfId="0" applyFont="1" applyFill="1" applyBorder="1"/>
    <xf numFmtId="167" fontId="46" fillId="0" borderId="0" xfId="1" applyNumberFormat="1" applyFont="1" applyFill="1" applyBorder="1"/>
    <xf numFmtId="165" fontId="46" fillId="0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6" fillId="0" borderId="0" xfId="5" applyNumberFormat="1" applyFont="1" applyFill="1" applyBorder="1"/>
    <xf numFmtId="164" fontId="46" fillId="0" borderId="0" xfId="5" applyNumberFormat="1" applyFont="1" applyFill="1" applyBorder="1" applyAlignment="1">
      <alignment horizontal="center"/>
    </xf>
    <xf numFmtId="164" fontId="47" fillId="0" borderId="0" xfId="0" applyNumberFormat="1" applyFont="1" applyFill="1" applyBorder="1"/>
    <xf numFmtId="164" fontId="46" fillId="0" borderId="0" xfId="0" applyNumberFormat="1" applyFont="1" applyFill="1" applyBorder="1"/>
    <xf numFmtId="0" fontId="47" fillId="0" borderId="0" xfId="0" applyFont="1" applyFill="1" applyBorder="1" applyAlignment="1">
      <alignment vertical="center" wrapText="1"/>
    </xf>
    <xf numFmtId="0" fontId="8" fillId="0" borderId="77" xfId="0" applyFont="1" applyBorder="1" applyAlignment="1"/>
    <xf numFmtId="167" fontId="46" fillId="11" borderId="1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6" borderId="29" xfId="0" applyFont="1" applyFill="1" applyBorder="1" applyAlignment="1">
      <alignment horizontal="center" wrapText="1"/>
    </xf>
    <xf numFmtId="0" fontId="4" fillId="6" borderId="33" xfId="0" applyFont="1" applyFill="1" applyBorder="1" applyAlignment="1">
      <alignment horizontal="center" wrapText="1"/>
    </xf>
    <xf numFmtId="164" fontId="1" fillId="0" borderId="6" xfId="2" applyNumberFormat="1" applyFont="1" applyBorder="1" applyAlignment="1">
      <alignment horizontal="center"/>
    </xf>
    <xf numFmtId="165" fontId="45" fillId="3" borderId="55" xfId="0" applyNumberFormat="1" applyFont="1" applyFill="1" applyBorder="1" applyAlignment="1">
      <alignment horizontal="center"/>
    </xf>
    <xf numFmtId="167" fontId="46" fillId="11" borderId="19" xfId="1" applyNumberFormat="1" applyFont="1" applyFill="1" applyBorder="1"/>
    <xf numFmtId="167" fontId="46" fillId="11" borderId="6" xfId="1" applyNumberFormat="1" applyFont="1" applyFill="1" applyBorder="1" applyAlignment="1">
      <alignment horizontal="center"/>
    </xf>
    <xf numFmtId="164" fontId="4" fillId="2" borderId="31" xfId="2" applyNumberFormat="1" applyFont="1" applyFill="1" applyBorder="1"/>
    <xf numFmtId="164" fontId="46" fillId="0" borderId="18" xfId="5" applyNumberFormat="1" applyFont="1" applyBorder="1"/>
    <xf numFmtId="164" fontId="46" fillId="0" borderId="66" xfId="5" applyNumberFormat="1" applyFont="1" applyBorder="1"/>
    <xf numFmtId="0" fontId="54" fillId="12" borderId="0" xfId="0" applyFont="1" applyFill="1" applyAlignment="1">
      <alignment horizontal="right"/>
    </xf>
    <xf numFmtId="0" fontId="55" fillId="0" borderId="0" xfId="0" applyFont="1" applyAlignment="1">
      <alignment horizontal="right"/>
    </xf>
    <xf numFmtId="3" fontId="55" fillId="0" borderId="92" xfId="0" applyNumberFormat="1" applyFont="1" applyBorder="1" applyAlignment="1">
      <alignment horizontal="right"/>
    </xf>
    <xf numFmtId="3" fontId="55" fillId="0" borderId="0" xfId="0" applyNumberFormat="1" applyFont="1" applyAlignment="1">
      <alignment horizontal="right"/>
    </xf>
    <xf numFmtId="0" fontId="54" fillId="12" borderId="0" xfId="0" applyFont="1" applyFill="1" applyAlignment="1"/>
    <xf numFmtId="49" fontId="55" fillId="0" borderId="0" xfId="0" applyNumberFormat="1" applyFont="1" applyAlignment="1">
      <alignment horizontal="right"/>
    </xf>
    <xf numFmtId="0" fontId="8" fillId="0" borderId="57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 wrapText="1"/>
    </xf>
    <xf numFmtId="0" fontId="8" fillId="0" borderId="93" xfId="0" applyFont="1" applyBorder="1" applyAlignment="1">
      <alignment horizontal="center" wrapText="1"/>
    </xf>
    <xf numFmtId="0" fontId="55" fillId="0" borderId="22" xfId="0" applyFont="1" applyBorder="1" applyAlignment="1">
      <alignment horizontal="right"/>
    </xf>
    <xf numFmtId="3" fontId="55" fillId="0" borderId="22" xfId="0" applyNumberFormat="1" applyFont="1" applyBorder="1" applyAlignment="1">
      <alignment horizontal="right"/>
    </xf>
    <xf numFmtId="0" fontId="55" fillId="0" borderId="0" xfId="0" applyFont="1" applyAlignment="1">
      <alignment horizontal="right" vertical="center"/>
    </xf>
    <xf numFmtId="3" fontId="55" fillId="0" borderId="92" xfId="0" applyNumberFormat="1" applyFont="1" applyBorder="1" applyAlignment="1">
      <alignment horizontal="right" vertical="center"/>
    </xf>
    <xf numFmtId="3" fontId="55" fillId="0" borderId="0" xfId="0" applyNumberFormat="1" applyFont="1" applyAlignment="1">
      <alignment horizontal="right" vertical="center"/>
    </xf>
    <xf numFmtId="3" fontId="45" fillId="6" borderId="22" xfId="0" applyNumberFormat="1" applyFont="1" applyFill="1" applyBorder="1"/>
    <xf numFmtId="3" fontId="45" fillId="6" borderId="21" xfId="0" applyNumberFormat="1" applyFont="1" applyFill="1" applyBorder="1"/>
    <xf numFmtId="44" fontId="7" fillId="0" borderId="19" xfId="0" applyNumberFormat="1" applyFont="1" applyFill="1" applyBorder="1"/>
    <xf numFmtId="0" fontId="51" fillId="0" borderId="0" xfId="0" applyFont="1" applyAlignment="1">
      <alignment horizontal="center"/>
    </xf>
    <xf numFmtId="49" fontId="51" fillId="0" borderId="0" xfId="0" applyNumberFormat="1" applyFont="1" applyAlignment="1">
      <alignment horizontal="center"/>
    </xf>
    <xf numFmtId="0" fontId="51" fillId="0" borderId="0" xfId="0" applyFont="1" applyAlignment="1"/>
    <xf numFmtId="49" fontId="51" fillId="0" borderId="0" xfId="0" applyNumberFormat="1" applyFont="1" applyAlignment="1"/>
    <xf numFmtId="0" fontId="22" fillId="0" borderId="0" xfId="0" applyFont="1" applyBorder="1" applyAlignment="1">
      <alignment horizontal="center" wrapText="1"/>
    </xf>
    <xf numFmtId="9" fontId="22" fillId="0" borderId="0" xfId="3" applyFont="1" applyBorder="1" applyAlignment="1">
      <alignment horizontal="center"/>
    </xf>
    <xf numFmtId="165" fontId="23" fillId="0" borderId="0" xfId="3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/>
    <xf numFmtId="44" fontId="22" fillId="0" borderId="0" xfId="0" applyNumberFormat="1" applyFont="1" applyBorder="1" applyAlignment="1">
      <alignment horizontal="center"/>
    </xf>
    <xf numFmtId="44" fontId="22" fillId="0" borderId="0" xfId="0" applyNumberFormat="1" applyFont="1" applyFill="1" applyBorder="1" applyAlignment="1">
      <alignment horizontal="center"/>
    </xf>
    <xf numFmtId="0" fontId="23" fillId="0" borderId="0" xfId="0" applyFont="1" applyBorder="1"/>
    <xf numFmtId="44" fontId="23" fillId="0" borderId="0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0" fontId="22" fillId="0" borderId="60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49" fontId="51" fillId="0" borderId="0" xfId="0" applyNumberFormat="1" applyFont="1" applyAlignment="1">
      <alignment horizontal="center"/>
    </xf>
    <xf numFmtId="0" fontId="4" fillId="6" borderId="38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49" fontId="53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49" fontId="32" fillId="0" borderId="0" xfId="0" applyNumberFormat="1" applyFont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49" fontId="34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49" fillId="6" borderId="38" xfId="0" applyFont="1" applyFill="1" applyBorder="1" applyAlignment="1">
      <alignment horizontal="center"/>
    </xf>
    <xf numFmtId="0" fontId="49" fillId="6" borderId="39" xfId="0" applyFont="1" applyFill="1" applyBorder="1" applyAlignment="1">
      <alignment horizontal="center"/>
    </xf>
    <xf numFmtId="0" fontId="49" fillId="6" borderId="4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33" fillId="0" borderId="0" xfId="0" applyNumberFormat="1" applyFont="1" applyAlignment="1">
      <alignment horizontal="center"/>
    </xf>
    <xf numFmtId="0" fontId="4" fillId="6" borderId="29" xfId="0" applyFont="1" applyFill="1" applyBorder="1" applyAlignment="1">
      <alignment horizontal="center" wrapText="1"/>
    </xf>
    <xf numFmtId="0" fontId="4" fillId="6" borderId="33" xfId="0" applyFont="1" applyFill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center"/>
    </xf>
    <xf numFmtId="49" fontId="49" fillId="6" borderId="30" xfId="0" applyNumberFormat="1" applyFont="1" applyFill="1" applyBorder="1" applyAlignment="1">
      <alignment horizontal="center" vertical="center"/>
    </xf>
    <xf numFmtId="49" fontId="49" fillId="6" borderId="34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4" fillId="12" borderId="0" xfId="0" applyFont="1" applyFill="1" applyAlignment="1">
      <alignment horizontal="center"/>
    </xf>
    <xf numFmtId="0" fontId="47" fillId="0" borderId="38" xfId="0" applyFont="1" applyFill="1" applyBorder="1" applyAlignment="1">
      <alignment horizontal="center" vertical="center" wrapText="1"/>
    </xf>
    <xf numFmtId="0" fontId="47" fillId="0" borderId="39" xfId="0" applyFont="1" applyFill="1" applyBorder="1" applyAlignment="1">
      <alignment horizontal="center" vertical="center" wrapText="1"/>
    </xf>
    <xf numFmtId="0" fontId="47" fillId="0" borderId="40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47" fillId="4" borderId="38" xfId="0" applyFont="1" applyFill="1" applyBorder="1" applyAlignment="1">
      <alignment horizontal="center" vertical="center" wrapText="1"/>
    </xf>
    <xf numFmtId="0" fontId="47" fillId="4" borderId="39" xfId="0" applyFont="1" applyFill="1" applyBorder="1" applyAlignment="1">
      <alignment horizontal="center" vertical="center" wrapText="1"/>
    </xf>
    <xf numFmtId="0" fontId="47" fillId="4" borderId="40" xfId="0" applyFont="1" applyFill="1" applyBorder="1" applyAlignment="1">
      <alignment horizontal="center" vertical="center" wrapText="1"/>
    </xf>
    <xf numFmtId="0" fontId="8" fillId="0" borderId="75" xfId="0" applyFont="1" applyBorder="1" applyAlignment="1">
      <alignment horizontal="center"/>
    </xf>
    <xf numFmtId="0" fontId="8" fillId="0" borderId="74" xfId="0" applyFont="1" applyBorder="1" applyAlignment="1">
      <alignment horizontal="center"/>
    </xf>
    <xf numFmtId="0" fontId="8" fillId="0" borderId="77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76" xfId="0" applyFont="1" applyFill="1" applyBorder="1" applyAlignment="1">
      <alignment horizontal="center" wrapText="1"/>
    </xf>
    <xf numFmtId="0" fontId="46" fillId="0" borderId="32" xfId="0" applyFont="1" applyBorder="1" applyAlignment="1">
      <alignment horizontal="center" wrapText="1"/>
    </xf>
    <xf numFmtId="0" fontId="4" fillId="2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73" xfId="0" applyFont="1" applyFill="1" applyBorder="1" applyAlignment="1">
      <alignment wrapText="1"/>
    </xf>
    <xf numFmtId="0" fontId="46" fillId="0" borderId="60" xfId="0" applyFont="1" applyBorder="1" applyAlignment="1">
      <alignment wrapText="1"/>
    </xf>
    <xf numFmtId="0" fontId="4" fillId="2" borderId="28" xfId="0" applyFont="1" applyFill="1" applyBorder="1" applyAlignment="1">
      <alignment horizontal="center" wrapText="1"/>
    </xf>
    <xf numFmtId="0" fontId="46" fillId="0" borderId="31" xfId="0" applyFont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6" borderId="75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5" fillId="11" borderId="0" xfId="0" applyFont="1" applyFill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 wrapText="1"/>
    </xf>
    <xf numFmtId="0" fontId="4" fillId="6" borderId="26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31" fillId="0" borderId="0" xfId="0" applyFont="1" applyAlignment="1">
      <alignment horizontal="center"/>
    </xf>
    <xf numFmtId="49" fontId="30" fillId="0" borderId="0" xfId="0" applyNumberFormat="1" applyFont="1" applyAlignment="1">
      <alignment horizontal="center"/>
    </xf>
    <xf numFmtId="0" fontId="19" fillId="0" borderId="71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4" fillId="2" borderId="38" xfId="0" applyFont="1" applyFill="1" applyBorder="1" applyAlignment="1">
      <alignment horizontal="center" wrapText="1"/>
    </xf>
    <xf numFmtId="0" fontId="14" fillId="2" borderId="40" xfId="0" applyFont="1" applyFill="1" applyBorder="1" applyAlignment="1">
      <alignment horizontal="center" wrapText="1"/>
    </xf>
    <xf numFmtId="0" fontId="14" fillId="2" borderId="38" xfId="0" applyFont="1" applyFill="1" applyBorder="1" applyAlignment="1">
      <alignment horizontal="center"/>
    </xf>
    <xf numFmtId="0" fontId="14" fillId="2" borderId="40" xfId="0" applyFont="1" applyFill="1" applyBorder="1" applyAlignment="1">
      <alignment horizontal="center"/>
    </xf>
    <xf numFmtId="0" fontId="16" fillId="5" borderId="38" xfId="0" applyFont="1" applyFill="1" applyBorder="1" applyAlignment="1">
      <alignment horizontal="center"/>
    </xf>
    <xf numFmtId="0" fontId="16" fillId="5" borderId="39" xfId="0" applyFont="1" applyFill="1" applyBorder="1" applyAlignment="1">
      <alignment horizontal="center"/>
    </xf>
    <xf numFmtId="0" fontId="16" fillId="5" borderId="40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wrapText="1"/>
    </xf>
    <xf numFmtId="0" fontId="22" fillId="0" borderId="30" xfId="0" applyFont="1" applyBorder="1" applyAlignment="1">
      <alignment horizontal="center" wrapText="1"/>
    </xf>
    <xf numFmtId="0" fontId="22" fillId="0" borderId="34" xfId="0" applyFont="1" applyBorder="1" applyAlignment="1">
      <alignment horizont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38" fillId="0" borderId="40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93" xfId="0" applyFont="1" applyBorder="1" applyAlignment="1">
      <alignment horizontal="center"/>
    </xf>
    <xf numFmtId="0" fontId="19" fillId="0" borderId="71" xfId="0" applyFont="1" applyBorder="1" applyAlignment="1">
      <alignment vertical="center"/>
    </xf>
    <xf numFmtId="0" fontId="20" fillId="0" borderId="71" xfId="0" applyFont="1" applyBorder="1" applyAlignment="1">
      <alignment vertical="center"/>
    </xf>
  </cellXfs>
  <cellStyles count="6">
    <cellStyle name="Comma" xfId="5" builtinId="3"/>
    <cellStyle name="Comma 2" xfId="2" xr:uid="{00000000-0005-0000-0000-000001000000}"/>
    <cellStyle name="Currency" xfId="1" builtinId="4"/>
    <cellStyle name="Normal" xfId="0" builtinId="0"/>
    <cellStyle name="Percent" xfId="3" builtinId="5"/>
    <cellStyle name="Percent 2" xfId="4" xr:uid="{00000000-0005-0000-0000-000005000000}"/>
  </cellStyles>
  <dxfs count="0"/>
  <tableStyles count="0" defaultTableStyle="TableStyleMedium2" defaultPivotStyle="PivotStyleLight16"/>
  <colors>
    <mruColors>
      <color rgb="FFCD51BB"/>
      <color rgb="FF6600FF"/>
      <color rgb="FF4A76C6"/>
      <color rgb="FF00FFFF"/>
      <color rgb="FF9966FF"/>
      <color rgb="FFA50021"/>
      <color rgb="FF6666FF"/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tx1"/>
                </a:solidFill>
              </a:rPr>
              <a:t>City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750176290066169E-2"/>
          <c:y val="0.12123246759827792"/>
          <c:w val="0.88167586499293005"/>
          <c:h val="0.72104950204690688"/>
        </c:manualLayout>
      </c:layout>
      <c:lineChart>
        <c:grouping val="standard"/>
        <c:varyColors val="0"/>
        <c:ser>
          <c:idx val="0"/>
          <c:order val="0"/>
          <c:tx>
            <c:strRef>
              <c:f>'City Comparison'!$C$24</c:f>
              <c:strCache>
                <c:ptCount val="1"/>
                <c:pt idx="0">
                  <c:v>Bismarck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'City Comparison'!$B$25:$B$36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'City Comparison'!$C$25:$C$36</c:f>
              <c:numCache>
                <c:formatCode>#,##0</c:formatCode>
                <c:ptCount val="12"/>
                <c:pt idx="0">
                  <c:v>16762</c:v>
                </c:pt>
                <c:pt idx="1">
                  <c:v>18636</c:v>
                </c:pt>
                <c:pt idx="2">
                  <c:v>22423</c:v>
                </c:pt>
                <c:pt idx="3">
                  <c:v>18200</c:v>
                </c:pt>
                <c:pt idx="4">
                  <c:v>20418</c:v>
                </c:pt>
                <c:pt idx="5">
                  <c:v>21196</c:v>
                </c:pt>
                <c:pt idx="6">
                  <c:v>22158</c:v>
                </c:pt>
                <c:pt idx="7">
                  <c:v>20505</c:v>
                </c:pt>
                <c:pt idx="8">
                  <c:v>20017</c:v>
                </c:pt>
                <c:pt idx="9">
                  <c:v>21510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1-4F68-BCC1-7144BF9DC2C2}"/>
            </c:ext>
          </c:extLst>
        </c:ser>
        <c:ser>
          <c:idx val="1"/>
          <c:order val="1"/>
          <c:tx>
            <c:strRef>
              <c:f>'City Comparison'!$D$24</c:f>
              <c:strCache>
                <c:ptCount val="1"/>
                <c:pt idx="0">
                  <c:v>Grand Forks</c:v>
                </c:pt>
              </c:strCache>
            </c:strRef>
          </c:tx>
          <c:spPr>
            <a:ln w="28575" cap="rnd">
              <a:solidFill>
                <a:srgbClr val="CD51B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D51BB"/>
              </a:solidFill>
              <a:ln w="9525">
                <a:solidFill>
                  <a:srgbClr val="CD51BB"/>
                </a:solidFill>
              </a:ln>
              <a:effectLst/>
            </c:spPr>
          </c:marker>
          <c:cat>
            <c:strRef>
              <c:f>'City Comparison'!$B$25:$B$36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'City Comparison'!$D$25:$D$36</c:f>
              <c:numCache>
                <c:formatCode>#,##0</c:formatCode>
                <c:ptCount val="12"/>
                <c:pt idx="0">
                  <c:v>5972</c:v>
                </c:pt>
                <c:pt idx="1">
                  <c:v>7941</c:v>
                </c:pt>
                <c:pt idx="2">
                  <c:v>10803</c:v>
                </c:pt>
                <c:pt idx="3">
                  <c:v>7640</c:v>
                </c:pt>
                <c:pt idx="4">
                  <c:v>7706</c:v>
                </c:pt>
                <c:pt idx="5">
                  <c:v>6502</c:v>
                </c:pt>
                <c:pt idx="6">
                  <c:v>6514</c:v>
                </c:pt>
                <c:pt idx="7">
                  <c:v>4220</c:v>
                </c:pt>
                <c:pt idx="8">
                  <c:v>6081</c:v>
                </c:pt>
                <c:pt idx="9">
                  <c:v>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1-4F68-BCC1-7144BF9DC2C2}"/>
            </c:ext>
          </c:extLst>
        </c:ser>
        <c:ser>
          <c:idx val="2"/>
          <c:order val="2"/>
          <c:tx>
            <c:strRef>
              <c:f>'City Comparison'!$E$24</c:f>
              <c:strCache>
                <c:ptCount val="1"/>
                <c:pt idx="0">
                  <c:v>Minot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cat>
            <c:strRef>
              <c:f>'City Comparison'!$B$25:$B$36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'City Comparison'!$E$25:$E$36</c:f>
              <c:numCache>
                <c:formatCode>#,##0</c:formatCode>
                <c:ptCount val="12"/>
                <c:pt idx="0">
                  <c:v>9532</c:v>
                </c:pt>
                <c:pt idx="1">
                  <c:v>10596</c:v>
                </c:pt>
                <c:pt idx="2">
                  <c:v>12903</c:v>
                </c:pt>
                <c:pt idx="3">
                  <c:v>10149</c:v>
                </c:pt>
                <c:pt idx="4">
                  <c:v>12504</c:v>
                </c:pt>
                <c:pt idx="5">
                  <c:v>11373</c:v>
                </c:pt>
                <c:pt idx="6">
                  <c:v>11303</c:v>
                </c:pt>
                <c:pt idx="7">
                  <c:v>11466</c:v>
                </c:pt>
                <c:pt idx="8">
                  <c:v>12593</c:v>
                </c:pt>
                <c:pt idx="9">
                  <c:v>12804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1-4F68-BCC1-7144BF9DC2C2}"/>
            </c:ext>
          </c:extLst>
        </c:ser>
        <c:ser>
          <c:idx val="3"/>
          <c:order val="3"/>
          <c:tx>
            <c:strRef>
              <c:f>'City Comparison'!$F$24</c:f>
              <c:strCache>
                <c:ptCount val="1"/>
                <c:pt idx="0">
                  <c:v>Williston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'City Comparison'!$B$25:$B$36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'City Comparison'!$F$25:$F$36</c:f>
              <c:numCache>
                <c:formatCode>_(* #,##0_);_(* \(#,##0\);_(* "-"??_);_(@_)</c:formatCode>
                <c:ptCount val="12"/>
                <c:pt idx="0">
                  <c:v>3458</c:v>
                </c:pt>
                <c:pt idx="1">
                  <c:v>3595</c:v>
                </c:pt>
                <c:pt idx="2">
                  <c:v>4439</c:v>
                </c:pt>
                <c:pt idx="3">
                  <c:v>3845</c:v>
                </c:pt>
                <c:pt idx="4">
                  <c:v>4936</c:v>
                </c:pt>
                <c:pt idx="5">
                  <c:v>5562</c:v>
                </c:pt>
                <c:pt idx="6">
                  <c:v>6377</c:v>
                </c:pt>
                <c:pt idx="7">
                  <c:v>6814</c:v>
                </c:pt>
                <c:pt idx="8">
                  <c:v>7442</c:v>
                </c:pt>
                <c:pt idx="9">
                  <c:v>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01-4F68-BCC1-7144BF9DC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31104"/>
        <c:axId val="139727616"/>
      </c:lineChart>
      <c:catAx>
        <c:axId val="12563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27616"/>
        <c:crosses val="autoZero"/>
        <c:auto val="1"/>
        <c:lblAlgn val="ctr"/>
        <c:lblOffset val="100"/>
        <c:noMultiLvlLbl val="0"/>
      </c:catAx>
      <c:valAx>
        <c:axId val="139727616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3110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Monthly Departures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2019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Departures'!$C$28:$C$39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Departures'!$D$28:$D$39</c:f>
              <c:numCache>
                <c:formatCode>0</c:formatCode>
                <c:ptCount val="12"/>
                <c:pt idx="0">
                  <c:v>204</c:v>
                </c:pt>
                <c:pt idx="1">
                  <c:v>197</c:v>
                </c:pt>
                <c:pt idx="2">
                  <c:v>258</c:v>
                </c:pt>
                <c:pt idx="3">
                  <c:v>239</c:v>
                </c:pt>
                <c:pt idx="4">
                  <c:v>238</c:v>
                </c:pt>
                <c:pt idx="5">
                  <c:v>273</c:v>
                </c:pt>
                <c:pt idx="6">
                  <c:v>290</c:v>
                </c:pt>
                <c:pt idx="7">
                  <c:v>273</c:v>
                </c:pt>
                <c:pt idx="8">
                  <c:v>239</c:v>
                </c:pt>
                <c:pt idx="9">
                  <c:v>263</c:v>
                </c:pt>
                <c:pt idx="10">
                  <c:v>246</c:v>
                </c:pt>
                <c:pt idx="1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2-4D43-9B3B-23771F00C8D4}"/>
            </c:ext>
          </c:extLst>
        </c:ser>
        <c:ser>
          <c:idx val="2"/>
          <c:order val="1"/>
          <c:tx>
            <c:v>2020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'Monthly Departures'!$C$28:$C$39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Departures'!$E$28:$E$39</c:f>
              <c:numCache>
                <c:formatCode>0</c:formatCode>
                <c:ptCount val="12"/>
                <c:pt idx="0">
                  <c:v>241</c:v>
                </c:pt>
                <c:pt idx="1">
                  <c:v>219</c:v>
                </c:pt>
                <c:pt idx="2">
                  <c:v>227</c:v>
                </c:pt>
                <c:pt idx="3">
                  <c:v>86</c:v>
                </c:pt>
                <c:pt idx="4">
                  <c:v>76</c:v>
                </c:pt>
                <c:pt idx="5">
                  <c:v>96</c:v>
                </c:pt>
                <c:pt idx="6">
                  <c:v>142</c:v>
                </c:pt>
                <c:pt idx="7">
                  <c:v>203</c:v>
                </c:pt>
                <c:pt idx="8">
                  <c:v>193</c:v>
                </c:pt>
                <c:pt idx="9">
                  <c:v>253</c:v>
                </c:pt>
                <c:pt idx="10">
                  <c:v>242</c:v>
                </c:pt>
                <c:pt idx="11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6-4008-97FC-5BC8F7CDDECB}"/>
            </c:ext>
          </c:extLst>
        </c:ser>
        <c:ser>
          <c:idx val="3"/>
          <c:order val="2"/>
          <c:tx>
            <c:v>2021</c:v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f>'Monthly Departures'!$C$28:$C$39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Departures'!$F$28:$F$39</c:f>
              <c:numCache>
                <c:formatCode>0</c:formatCode>
                <c:ptCount val="12"/>
                <c:pt idx="0">
                  <c:v>200</c:v>
                </c:pt>
                <c:pt idx="1">
                  <c:v>190</c:v>
                </c:pt>
                <c:pt idx="2">
                  <c:v>274</c:v>
                </c:pt>
                <c:pt idx="3">
                  <c:v>260</c:v>
                </c:pt>
                <c:pt idx="4">
                  <c:v>210</c:v>
                </c:pt>
                <c:pt idx="5">
                  <c:v>260</c:v>
                </c:pt>
                <c:pt idx="6">
                  <c:v>278</c:v>
                </c:pt>
                <c:pt idx="7">
                  <c:v>240</c:v>
                </c:pt>
                <c:pt idx="8">
                  <c:v>204</c:v>
                </c:pt>
                <c:pt idx="9">
                  <c:v>224</c:v>
                </c:pt>
                <c:pt idx="10">
                  <c:v>205</c:v>
                </c:pt>
                <c:pt idx="11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9-4139-BF2E-2B3997D647AA}"/>
            </c:ext>
          </c:extLst>
        </c:ser>
        <c:ser>
          <c:idx val="0"/>
          <c:order val="3"/>
          <c:tx>
            <c:v>2022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val>
            <c:numRef>
              <c:f>'Monthly Departures'!$G$28:$G$39</c:f>
              <c:numCache>
                <c:formatCode>0</c:formatCode>
                <c:ptCount val="12"/>
                <c:pt idx="0">
                  <c:v>179</c:v>
                </c:pt>
                <c:pt idx="1">
                  <c:v>190</c:v>
                </c:pt>
                <c:pt idx="2">
                  <c:v>189</c:v>
                </c:pt>
                <c:pt idx="3">
                  <c:v>154</c:v>
                </c:pt>
                <c:pt idx="4">
                  <c:v>200</c:v>
                </c:pt>
                <c:pt idx="5">
                  <c:v>206</c:v>
                </c:pt>
                <c:pt idx="6">
                  <c:v>194</c:v>
                </c:pt>
                <c:pt idx="7">
                  <c:v>201</c:v>
                </c:pt>
                <c:pt idx="8">
                  <c:v>208</c:v>
                </c:pt>
                <c:pt idx="9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E-4B64-ADB1-36B855730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233024"/>
        <c:axId val="143234560"/>
      </c:barChart>
      <c:catAx>
        <c:axId val="14323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34560"/>
        <c:crosses val="autoZero"/>
        <c:auto val="1"/>
        <c:lblAlgn val="ctr"/>
        <c:lblOffset val="100"/>
        <c:noMultiLvlLbl val="0"/>
      </c:catAx>
      <c:valAx>
        <c:axId val="14323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3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Air Carrier Market Share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A50021"/>
              </a:solidFill>
              <a:ln w="19050">
                <a:solidFill>
                  <a:srgbClr val="A5002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7D-4A18-A6F3-688000B2113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7D-4A18-A6F3-688000B2113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87D-4A18-A6F3-688000B2113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7D-4A18-A6F3-688000B211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'Air Carrier Market Share'!$C$7:$C$10</c:f>
              <c:strCache>
                <c:ptCount val="4"/>
                <c:pt idx="0">
                  <c:v>Delta</c:v>
                </c:pt>
                <c:pt idx="1">
                  <c:v>United</c:v>
                </c:pt>
                <c:pt idx="2">
                  <c:v>Allegiant</c:v>
                </c:pt>
                <c:pt idx="3">
                  <c:v>Charter</c:v>
                </c:pt>
              </c:strCache>
            </c:strRef>
          </c:cat>
          <c:val>
            <c:numRef>
              <c:f>'Air Carrier Market Share'!$F$7:$F$10</c:f>
              <c:numCache>
                <c:formatCode>0.0%</c:formatCode>
                <c:ptCount val="4"/>
                <c:pt idx="0">
                  <c:v>0.44755191173090186</c:v>
                </c:pt>
                <c:pt idx="1">
                  <c:v>0.32162286414834113</c:v>
                </c:pt>
                <c:pt idx="2">
                  <c:v>0.22055781166194161</c:v>
                </c:pt>
                <c:pt idx="3">
                  <c:v>1.0267412458815416E-2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D-4A18-A6F3-688000B21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"/>
      </c:pieChart>
      <c:spPr>
        <a:noFill/>
        <a:ln>
          <a:noFill/>
        </a:ln>
        <a:effectLst>
          <a:glow>
            <a:schemeClr val="accent1">
              <a:alpha val="40000"/>
            </a:schemeClr>
          </a:glow>
        </a:effectLst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Tower Operations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v>2020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'Tower Operations'!$B$8:$B$19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'Tower Operations'!$C$8:$C$19</c:f>
              <c:numCache>
                <c:formatCode>#,##0</c:formatCode>
                <c:ptCount val="12"/>
                <c:pt idx="0">
                  <c:v>2026</c:v>
                </c:pt>
                <c:pt idx="1">
                  <c:v>3155</c:v>
                </c:pt>
                <c:pt idx="2">
                  <c:v>2518</c:v>
                </c:pt>
                <c:pt idx="3">
                  <c:v>2376</c:v>
                </c:pt>
                <c:pt idx="4">
                  <c:v>3027</c:v>
                </c:pt>
                <c:pt idx="5">
                  <c:v>2732</c:v>
                </c:pt>
                <c:pt idx="6">
                  <c:v>4956</c:v>
                </c:pt>
                <c:pt idx="7">
                  <c:v>4083</c:v>
                </c:pt>
                <c:pt idx="8">
                  <c:v>3282</c:v>
                </c:pt>
                <c:pt idx="9">
                  <c:v>2750</c:v>
                </c:pt>
                <c:pt idx="10">
                  <c:v>2536</c:v>
                </c:pt>
                <c:pt idx="11">
                  <c:v>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F0-4F3A-9AB9-DFF7A9891184}"/>
            </c:ext>
          </c:extLst>
        </c:ser>
        <c:ser>
          <c:idx val="0"/>
          <c:order val="2"/>
          <c:tx>
            <c:v>2021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val>
            <c:numRef>
              <c:f>'Tower Operations'!$D$8:$D$19</c:f>
              <c:numCache>
                <c:formatCode>_(* #,##0_);_(* \(#,##0\);_(* "-"??_);_(@_)</c:formatCode>
                <c:ptCount val="12"/>
                <c:pt idx="0">
                  <c:v>2326</c:v>
                </c:pt>
                <c:pt idx="1">
                  <c:v>1903</c:v>
                </c:pt>
                <c:pt idx="2">
                  <c:v>3029</c:v>
                </c:pt>
                <c:pt idx="3">
                  <c:v>3130</c:v>
                </c:pt>
                <c:pt idx="4">
                  <c:v>3351</c:v>
                </c:pt>
                <c:pt idx="5">
                  <c:v>3594</c:v>
                </c:pt>
                <c:pt idx="6">
                  <c:v>5194</c:v>
                </c:pt>
                <c:pt idx="7">
                  <c:v>3022</c:v>
                </c:pt>
                <c:pt idx="8">
                  <c:v>3429</c:v>
                </c:pt>
                <c:pt idx="9">
                  <c:v>2696</c:v>
                </c:pt>
                <c:pt idx="10">
                  <c:v>2510</c:v>
                </c:pt>
                <c:pt idx="11">
                  <c:v>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3-4798-845A-7DC91A1B877B}"/>
            </c:ext>
          </c:extLst>
        </c:ser>
        <c:ser>
          <c:idx val="3"/>
          <c:order val="3"/>
          <c:tx>
            <c:v>2022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'Tower Operations'!$I$8:$I$19</c:f>
              <c:numCache>
                <c:formatCode>_(* #,##0_);_(* \(#,##0\);_(* "-"??_);_(@_)</c:formatCode>
                <c:ptCount val="12"/>
                <c:pt idx="0">
                  <c:v>1641</c:v>
                </c:pt>
                <c:pt idx="1">
                  <c:v>1858</c:v>
                </c:pt>
                <c:pt idx="2">
                  <c:v>2931</c:v>
                </c:pt>
                <c:pt idx="3">
                  <c:v>1989</c:v>
                </c:pt>
                <c:pt idx="4">
                  <c:v>3129</c:v>
                </c:pt>
                <c:pt idx="5">
                  <c:v>3432</c:v>
                </c:pt>
                <c:pt idx="6">
                  <c:v>5392</c:v>
                </c:pt>
                <c:pt idx="7">
                  <c:v>4136</c:v>
                </c:pt>
                <c:pt idx="8">
                  <c:v>3856</c:v>
                </c:pt>
                <c:pt idx="9">
                  <c:v>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C-4FAF-9EB4-C80C46629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036352"/>
        <c:axId val="55403510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2019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'Tower Operations'!$B$8:$B$19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'Tower Operations'!$C$8:$C$19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2026</c:v>
                      </c:pt>
                      <c:pt idx="1">
                        <c:v>3155</c:v>
                      </c:pt>
                      <c:pt idx="2">
                        <c:v>2518</c:v>
                      </c:pt>
                      <c:pt idx="3">
                        <c:v>2376</c:v>
                      </c:pt>
                      <c:pt idx="4">
                        <c:v>3027</c:v>
                      </c:pt>
                      <c:pt idx="5">
                        <c:v>2732</c:v>
                      </c:pt>
                      <c:pt idx="6">
                        <c:v>4956</c:v>
                      </c:pt>
                      <c:pt idx="7">
                        <c:v>4083</c:v>
                      </c:pt>
                      <c:pt idx="8">
                        <c:v>3282</c:v>
                      </c:pt>
                      <c:pt idx="9">
                        <c:v>2750</c:v>
                      </c:pt>
                      <c:pt idx="10">
                        <c:v>2536</c:v>
                      </c:pt>
                      <c:pt idx="11">
                        <c:v>2708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9F0-4F3A-9AB9-DFF7A9891184}"/>
                  </c:ext>
                </c:extLst>
              </c15:ser>
            </c15:filteredLineSeries>
          </c:ext>
        </c:extLst>
      </c:lineChart>
      <c:catAx>
        <c:axId val="5540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035104"/>
        <c:crosses val="autoZero"/>
        <c:auto val="1"/>
        <c:lblAlgn val="ctr"/>
        <c:lblOffset val="100"/>
        <c:noMultiLvlLbl val="0"/>
      </c:catAx>
      <c:valAx>
        <c:axId val="55403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03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Operational Activity</a:t>
            </a:r>
          </a:p>
        </c:rich>
      </c:tx>
      <c:layout>
        <c:manualLayout>
          <c:xMode val="edge"/>
          <c:yMode val="edge"/>
          <c:x val="0.3625277777777777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'Tower Operations'!$K$7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multiLvlStrRef>
              <c:f>'Tower Operations'!$L$5:$T$6</c:f>
              <c:multiLvlStrCache>
                <c:ptCount val="9"/>
                <c:lvl>
                  <c:pt idx="0">
                    <c:v>Air Carrier</c:v>
                  </c:pt>
                  <c:pt idx="1">
                    <c:v>Air Taxi</c:v>
                  </c:pt>
                  <c:pt idx="2">
                    <c:v>General Aviation</c:v>
                  </c:pt>
                  <c:pt idx="3">
                    <c:v>Military</c:v>
                  </c:pt>
                  <c:pt idx="4">
                    <c:v>Total Itinerant</c:v>
                  </c:pt>
                  <c:pt idx="5">
                    <c:v>Civil</c:v>
                  </c:pt>
                  <c:pt idx="6">
                    <c:v>Military</c:v>
                  </c:pt>
                  <c:pt idx="7">
                    <c:v>Total Local</c:v>
                  </c:pt>
                  <c:pt idx="8">
                    <c:v>Total Operations</c:v>
                  </c:pt>
                </c:lvl>
                <c:lvl>
                  <c:pt idx="0">
                    <c:v>ITINERANT</c:v>
                  </c:pt>
                  <c:pt idx="5">
                    <c:v>LOCAL</c:v>
                  </c:pt>
                </c:lvl>
              </c:multiLvlStrCache>
            </c:multiLvlStrRef>
          </c:cat>
          <c:val>
            <c:numRef>
              <c:f>'Tower Operations'!$L$7:$T$7</c:f>
              <c:numCache>
                <c:formatCode>#,##0</c:formatCode>
                <c:ptCount val="9"/>
                <c:pt idx="0">
                  <c:v>1604</c:v>
                </c:pt>
                <c:pt idx="1">
                  <c:v>4829</c:v>
                </c:pt>
                <c:pt idx="2">
                  <c:v>7845</c:v>
                </c:pt>
                <c:pt idx="3" formatCode="General">
                  <c:v>128</c:v>
                </c:pt>
                <c:pt idx="4">
                  <c:v>14406</c:v>
                </c:pt>
                <c:pt idx="5">
                  <c:v>16729</c:v>
                </c:pt>
                <c:pt idx="6">
                  <c:v>2120</c:v>
                </c:pt>
                <c:pt idx="7">
                  <c:v>18849</c:v>
                </c:pt>
                <c:pt idx="8">
                  <c:v>33255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5-44BE-BAA4-C99E1E2DF3DE}"/>
            </c:ext>
          </c:extLst>
        </c:ser>
        <c:ser>
          <c:idx val="1"/>
          <c:order val="1"/>
          <c:tx>
            <c:strRef>
              <c:f>'Tower Operations'!$K$8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multiLvlStrRef>
              <c:f>'Tower Operations'!$L$5:$T$6</c:f>
              <c:multiLvlStrCache>
                <c:ptCount val="9"/>
                <c:lvl>
                  <c:pt idx="0">
                    <c:v>Air Carrier</c:v>
                  </c:pt>
                  <c:pt idx="1">
                    <c:v>Air Taxi</c:v>
                  </c:pt>
                  <c:pt idx="2">
                    <c:v>General Aviation</c:v>
                  </c:pt>
                  <c:pt idx="3">
                    <c:v>Military</c:v>
                  </c:pt>
                  <c:pt idx="4">
                    <c:v>Total Itinerant</c:v>
                  </c:pt>
                  <c:pt idx="5">
                    <c:v>Civil</c:v>
                  </c:pt>
                  <c:pt idx="6">
                    <c:v>Military</c:v>
                  </c:pt>
                  <c:pt idx="7">
                    <c:v>Total Local</c:v>
                  </c:pt>
                  <c:pt idx="8">
                    <c:v>Total Operations</c:v>
                  </c:pt>
                </c:lvl>
                <c:lvl>
                  <c:pt idx="0">
                    <c:v>ITINERANT</c:v>
                  </c:pt>
                  <c:pt idx="5">
                    <c:v>LOCAL</c:v>
                  </c:pt>
                </c:lvl>
              </c:multiLvlStrCache>
            </c:multiLvlStrRef>
          </c:cat>
          <c:val>
            <c:numRef>
              <c:f>'Tower Operations'!$L$8:$T$8</c:f>
              <c:numCache>
                <c:formatCode>#,##0</c:formatCode>
                <c:ptCount val="9"/>
                <c:pt idx="0">
                  <c:v>1237</c:v>
                </c:pt>
                <c:pt idx="1">
                  <c:v>6681</c:v>
                </c:pt>
                <c:pt idx="2">
                  <c:v>9085</c:v>
                </c:pt>
                <c:pt idx="3" formatCode="General">
                  <c:v>86</c:v>
                </c:pt>
                <c:pt idx="4">
                  <c:v>17089</c:v>
                </c:pt>
                <c:pt idx="5">
                  <c:v>12199</c:v>
                </c:pt>
                <c:pt idx="6">
                  <c:v>1800</c:v>
                </c:pt>
                <c:pt idx="7">
                  <c:v>13999</c:v>
                </c:pt>
                <c:pt idx="8">
                  <c:v>31088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05-44BE-BAA4-C99E1E2DF3DE}"/>
            </c:ext>
          </c:extLst>
        </c:ser>
        <c:ser>
          <c:idx val="2"/>
          <c:order val="2"/>
          <c:tx>
            <c:strRef>
              <c:f>'Tower Operations'!$K$9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multiLvlStrRef>
              <c:f>'Tower Operations'!$L$5:$T$6</c:f>
              <c:multiLvlStrCache>
                <c:ptCount val="9"/>
                <c:lvl>
                  <c:pt idx="0">
                    <c:v>Air Carrier</c:v>
                  </c:pt>
                  <c:pt idx="1">
                    <c:v>Air Taxi</c:v>
                  </c:pt>
                  <c:pt idx="2">
                    <c:v>General Aviation</c:v>
                  </c:pt>
                  <c:pt idx="3">
                    <c:v>Military</c:v>
                  </c:pt>
                  <c:pt idx="4">
                    <c:v>Total Itinerant</c:v>
                  </c:pt>
                  <c:pt idx="5">
                    <c:v>Civil</c:v>
                  </c:pt>
                  <c:pt idx="6">
                    <c:v>Military</c:v>
                  </c:pt>
                  <c:pt idx="7">
                    <c:v>Total Local</c:v>
                  </c:pt>
                  <c:pt idx="8">
                    <c:v>Total Operations</c:v>
                  </c:pt>
                </c:lvl>
                <c:lvl>
                  <c:pt idx="0">
                    <c:v>ITINERANT</c:v>
                  </c:pt>
                  <c:pt idx="5">
                    <c:v>LOCAL</c:v>
                  </c:pt>
                </c:lvl>
              </c:multiLvlStrCache>
            </c:multiLvlStrRef>
          </c:cat>
          <c:val>
            <c:numRef>
              <c:f>'Tower Operations'!$L$9:$T$9</c:f>
              <c:numCache>
                <c:formatCode>#,##0</c:formatCode>
                <c:ptCount val="9"/>
                <c:pt idx="0">
                  <c:v>1628</c:v>
                </c:pt>
                <c:pt idx="1">
                  <c:v>4314</c:v>
                </c:pt>
                <c:pt idx="2">
                  <c:v>9541</c:v>
                </c:pt>
                <c:pt idx="3" formatCode="General">
                  <c:v>63</c:v>
                </c:pt>
                <c:pt idx="4">
                  <c:v>15546</c:v>
                </c:pt>
                <c:pt idx="5">
                  <c:v>11887</c:v>
                </c:pt>
                <c:pt idx="6">
                  <c:v>1830</c:v>
                </c:pt>
                <c:pt idx="7">
                  <c:v>13717</c:v>
                </c:pt>
                <c:pt idx="8">
                  <c:v>29263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05-44BE-BAA4-C99E1E2DF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0795263"/>
        <c:axId val="840796511"/>
      </c:barChart>
      <c:catAx>
        <c:axId val="84079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796511"/>
        <c:crosses val="autoZero"/>
        <c:auto val="1"/>
        <c:lblAlgn val="ctr"/>
        <c:lblOffset val="100"/>
        <c:noMultiLvlLbl val="0"/>
      </c:catAx>
      <c:valAx>
        <c:axId val="84079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79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Activity</a:t>
            </a:r>
          </a:p>
        </c:rich>
      </c:tx>
      <c:layout>
        <c:manualLayout>
          <c:xMode val="edge"/>
          <c:yMode val="edge"/>
          <c:x val="0.39639491969888213"/>
          <c:y val="1.8181856358855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794161936411461E-2"/>
          <c:y val="0.19686399427344309"/>
          <c:w val="0.91713347644344001"/>
          <c:h val="0.664100930565497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'Tower Operations'!$K$14</c:f>
              <c:strCache>
                <c:ptCount val="1"/>
                <c:pt idx="0">
                  <c:v>Oct-20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'Tower Operations'!$L$12:$T$13</c:f>
              <c:multiLvlStrCache>
                <c:ptCount val="9"/>
                <c:lvl>
                  <c:pt idx="0">
                    <c:v>Air Carrier</c:v>
                  </c:pt>
                  <c:pt idx="1">
                    <c:v>Air Taxi</c:v>
                  </c:pt>
                  <c:pt idx="2">
                    <c:v>General Aviation</c:v>
                  </c:pt>
                  <c:pt idx="3">
                    <c:v>Military</c:v>
                  </c:pt>
                  <c:pt idx="4">
                    <c:v>Total Itinerant</c:v>
                  </c:pt>
                  <c:pt idx="5">
                    <c:v>Civil</c:v>
                  </c:pt>
                  <c:pt idx="6">
                    <c:v>Military</c:v>
                  </c:pt>
                  <c:pt idx="7">
                    <c:v>Total Local</c:v>
                  </c:pt>
                  <c:pt idx="8">
                    <c:v>Total Operations</c:v>
                  </c:pt>
                </c:lvl>
                <c:lvl>
                  <c:pt idx="0">
                    <c:v>ITINERANT</c:v>
                  </c:pt>
                  <c:pt idx="5">
                    <c:v>LOCAL</c:v>
                  </c:pt>
                </c:lvl>
              </c:multiLvlStrCache>
            </c:multiLvlStrRef>
          </c:cat>
          <c:val>
            <c:numRef>
              <c:f>'Tower Operations'!$L$14:$T$14</c:f>
              <c:numCache>
                <c:formatCode>General</c:formatCode>
                <c:ptCount val="9"/>
                <c:pt idx="0">
                  <c:v>273</c:v>
                </c:pt>
                <c:pt idx="1">
                  <c:v>362</c:v>
                </c:pt>
                <c:pt idx="2">
                  <c:v>758</c:v>
                </c:pt>
                <c:pt idx="3">
                  <c:v>6</c:v>
                </c:pt>
                <c:pt idx="4" formatCode="#,##0">
                  <c:v>1399</c:v>
                </c:pt>
                <c:pt idx="5" formatCode="#,##0">
                  <c:v>1035</c:v>
                </c:pt>
                <c:pt idx="6">
                  <c:v>83</c:v>
                </c:pt>
                <c:pt idx="7" formatCode="#,##0">
                  <c:v>1118</c:v>
                </c:pt>
                <c:pt idx="8" formatCode="#,##0">
                  <c:v>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2-44AB-A754-242E3C8212FA}"/>
            </c:ext>
          </c:extLst>
        </c:ser>
        <c:ser>
          <c:idx val="1"/>
          <c:order val="1"/>
          <c:tx>
            <c:strRef>
              <c:f>'Tower Operations'!$K$15</c:f>
              <c:strCache>
                <c:ptCount val="1"/>
                <c:pt idx="0">
                  <c:v>Oct-21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'Tower Operations'!$L$12:$T$13</c:f>
              <c:multiLvlStrCache>
                <c:ptCount val="9"/>
                <c:lvl>
                  <c:pt idx="0">
                    <c:v>Air Carrier</c:v>
                  </c:pt>
                  <c:pt idx="1">
                    <c:v>Air Taxi</c:v>
                  </c:pt>
                  <c:pt idx="2">
                    <c:v>General Aviation</c:v>
                  </c:pt>
                  <c:pt idx="3">
                    <c:v>Military</c:v>
                  </c:pt>
                  <c:pt idx="4">
                    <c:v>Total Itinerant</c:v>
                  </c:pt>
                  <c:pt idx="5">
                    <c:v>Civil</c:v>
                  </c:pt>
                  <c:pt idx="6">
                    <c:v>Military</c:v>
                  </c:pt>
                  <c:pt idx="7">
                    <c:v>Total Local</c:v>
                  </c:pt>
                  <c:pt idx="8">
                    <c:v>Total Operations</c:v>
                  </c:pt>
                </c:lvl>
                <c:lvl>
                  <c:pt idx="0">
                    <c:v>ITINERANT</c:v>
                  </c:pt>
                  <c:pt idx="5">
                    <c:v>LOCAL</c:v>
                  </c:pt>
                </c:lvl>
              </c:multiLvlStrCache>
            </c:multiLvlStrRef>
          </c:cat>
          <c:val>
            <c:numRef>
              <c:f>'Tower Operations'!$L$15:$T$15</c:f>
              <c:numCache>
                <c:formatCode>General</c:formatCode>
                <c:ptCount val="9"/>
                <c:pt idx="0">
                  <c:v>159</c:v>
                </c:pt>
                <c:pt idx="1">
                  <c:v>462</c:v>
                </c:pt>
                <c:pt idx="2">
                  <c:v>928</c:v>
                </c:pt>
                <c:pt idx="3">
                  <c:v>12</c:v>
                </c:pt>
                <c:pt idx="4" formatCode="#,##0">
                  <c:v>1561</c:v>
                </c:pt>
                <c:pt idx="5" formatCode="#,##0">
                  <c:v>1016</c:v>
                </c:pt>
                <c:pt idx="6">
                  <c:v>128</c:v>
                </c:pt>
                <c:pt idx="7" formatCode="#,##0">
                  <c:v>1144</c:v>
                </c:pt>
                <c:pt idx="8" formatCode="#,##0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02-44AB-A754-242E3C8212FA}"/>
            </c:ext>
          </c:extLst>
        </c:ser>
        <c:ser>
          <c:idx val="2"/>
          <c:order val="2"/>
          <c:tx>
            <c:strRef>
              <c:f>'Tower Operations'!$K$16</c:f>
              <c:strCache>
                <c:ptCount val="1"/>
                <c:pt idx="0">
                  <c:v>Oct-22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'Tower Operations'!$L$12:$T$13</c:f>
              <c:multiLvlStrCache>
                <c:ptCount val="9"/>
                <c:lvl>
                  <c:pt idx="0">
                    <c:v>Air Carrier</c:v>
                  </c:pt>
                  <c:pt idx="1">
                    <c:v>Air Taxi</c:v>
                  </c:pt>
                  <c:pt idx="2">
                    <c:v>General Aviation</c:v>
                  </c:pt>
                  <c:pt idx="3">
                    <c:v>Military</c:v>
                  </c:pt>
                  <c:pt idx="4">
                    <c:v>Total Itinerant</c:v>
                  </c:pt>
                  <c:pt idx="5">
                    <c:v>Civil</c:v>
                  </c:pt>
                  <c:pt idx="6">
                    <c:v>Military</c:v>
                  </c:pt>
                  <c:pt idx="7">
                    <c:v>Total Local</c:v>
                  </c:pt>
                  <c:pt idx="8">
                    <c:v>Total Operations</c:v>
                  </c:pt>
                </c:lvl>
                <c:lvl>
                  <c:pt idx="0">
                    <c:v>ITINERANT</c:v>
                  </c:pt>
                  <c:pt idx="5">
                    <c:v>LOCAL</c:v>
                  </c:pt>
                </c:lvl>
              </c:multiLvlStrCache>
            </c:multiLvlStrRef>
          </c:cat>
          <c:val>
            <c:numRef>
              <c:f>'Tower Operations'!$L$16:$T$16</c:f>
              <c:numCache>
                <c:formatCode>General</c:formatCode>
                <c:ptCount val="9"/>
                <c:pt idx="0">
                  <c:v>150</c:v>
                </c:pt>
                <c:pt idx="1">
                  <c:v>411</c:v>
                </c:pt>
                <c:pt idx="2" formatCode="#,##0">
                  <c:v>873</c:v>
                </c:pt>
                <c:pt idx="3">
                  <c:v>0</c:v>
                </c:pt>
                <c:pt idx="4" formatCode="#,##0">
                  <c:v>1434</c:v>
                </c:pt>
                <c:pt idx="5" formatCode="#,##0">
                  <c:v>1369</c:v>
                </c:pt>
                <c:pt idx="6">
                  <c:v>146</c:v>
                </c:pt>
                <c:pt idx="7" formatCode="#,##0">
                  <c:v>1515</c:v>
                </c:pt>
                <c:pt idx="8" formatCode="#,##0">
                  <c:v>2949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02-44AB-A754-242E3C821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5871663"/>
        <c:axId val="1908584095"/>
      </c:barChart>
      <c:catAx>
        <c:axId val="172587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8584095"/>
        <c:crosses val="autoZero"/>
        <c:auto val="1"/>
        <c:lblAlgn val="ctr"/>
        <c:lblOffset val="100"/>
        <c:noMultiLvlLbl val="0"/>
      </c:catAx>
      <c:valAx>
        <c:axId val="190858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871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100" b="1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Gross</a:t>
            </a:r>
            <a:r>
              <a:rPr lang="en-US" baseline="0"/>
              <a:t> Receipts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57787493184162"/>
          <c:y val="0.21776606260776576"/>
          <c:w val="0.68756902781214679"/>
          <c:h val="0.68948126013917854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'Car Rental'!$C$22:$C$33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'Car Rental'!$D$22:$D$33</c:f>
              <c:numCache>
                <c:formatCode>_("$"* #,##0_);_("$"* \(#,##0\);_("$"* "-"??_);_(@_)</c:formatCode>
                <c:ptCount val="12"/>
                <c:pt idx="0">
                  <c:v>344712.85</c:v>
                </c:pt>
                <c:pt idx="1">
                  <c:v>302489.45</c:v>
                </c:pt>
                <c:pt idx="2">
                  <c:v>225816.84</c:v>
                </c:pt>
                <c:pt idx="3">
                  <c:v>93868.78</c:v>
                </c:pt>
                <c:pt idx="4">
                  <c:v>125806.26</c:v>
                </c:pt>
                <c:pt idx="5">
                  <c:v>181193.34999999998</c:v>
                </c:pt>
                <c:pt idx="6">
                  <c:v>282055.35000000003</c:v>
                </c:pt>
                <c:pt idx="7">
                  <c:v>319730.69</c:v>
                </c:pt>
                <c:pt idx="8">
                  <c:v>293695.03000000003</c:v>
                </c:pt>
                <c:pt idx="9">
                  <c:v>366205.07</c:v>
                </c:pt>
                <c:pt idx="10">
                  <c:v>239388.90999999997</c:v>
                </c:pt>
                <c:pt idx="11">
                  <c:v>179464.01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A-4BC0-963C-5E98E153AFA9}"/>
            </c:ext>
          </c:extLst>
        </c:ser>
        <c:ser>
          <c:idx val="0"/>
          <c:order val="1"/>
          <c:tx>
            <c:v>2021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'Car Rental'!$C$22:$C$33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'Car Rental'!$E$22:$E$33</c:f>
              <c:numCache>
                <c:formatCode>_("$"* #,##0_);_("$"* \(#,##0\);_("$"* "-"??_);_(@_)</c:formatCode>
                <c:ptCount val="12"/>
                <c:pt idx="0">
                  <c:v>159305.38</c:v>
                </c:pt>
                <c:pt idx="1">
                  <c:v>185925.08</c:v>
                </c:pt>
                <c:pt idx="2">
                  <c:v>269702.45</c:v>
                </c:pt>
                <c:pt idx="3">
                  <c:v>343546.81</c:v>
                </c:pt>
                <c:pt idx="4">
                  <c:v>472302.77821999998</c:v>
                </c:pt>
                <c:pt idx="5">
                  <c:v>482231.11</c:v>
                </c:pt>
                <c:pt idx="6">
                  <c:v>531708.56999999995</c:v>
                </c:pt>
                <c:pt idx="7">
                  <c:v>519143.10000000003</c:v>
                </c:pt>
                <c:pt idx="8">
                  <c:v>384198.88</c:v>
                </c:pt>
                <c:pt idx="9">
                  <c:v>495606.44999999995</c:v>
                </c:pt>
                <c:pt idx="10">
                  <c:v>388059.78</c:v>
                </c:pt>
                <c:pt idx="11">
                  <c:v>322661.02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3-4CC0-9686-81A7F2E3A8D6}"/>
            </c:ext>
          </c:extLst>
        </c:ser>
        <c:ser>
          <c:idx val="1"/>
          <c:order val="2"/>
          <c:tx>
            <c:v>2022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0070C0"/>
                </a:solidFill>
              </a:ln>
            </c:spPr>
          </c:marker>
          <c:dPt>
            <c:idx val="0"/>
            <c:marker>
              <c:spPr>
                <a:solidFill>
                  <a:srgbClr val="0070C0"/>
                </a:solidFill>
                <a:ln>
                  <a:solidFill>
                    <a:srgbClr val="0070C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B0C-43D9-BB27-518D1BBE3C91}"/>
              </c:ext>
            </c:extLst>
          </c:dPt>
          <c:val>
            <c:numRef>
              <c:f>'Car Rental'!$F$22:$F$25</c:f>
              <c:numCache>
                <c:formatCode>_("$"* #,##0_);_("$"* \(#,##0\);_("$"* "-"??_);_(@_)</c:formatCode>
                <c:ptCount val="4"/>
                <c:pt idx="0">
                  <c:v>278830.72000000003</c:v>
                </c:pt>
                <c:pt idx="1">
                  <c:v>289309.88</c:v>
                </c:pt>
                <c:pt idx="2">
                  <c:v>335506.42</c:v>
                </c:pt>
                <c:pt idx="3">
                  <c:v>313776.92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3-432C-9FD0-C87812189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79328"/>
        <c:axId val="145381248"/>
      </c:lineChart>
      <c:catAx>
        <c:axId val="145379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5381248"/>
        <c:crosses val="autoZero"/>
        <c:auto val="1"/>
        <c:lblAlgn val="ctr"/>
        <c:lblOffset val="100"/>
        <c:noMultiLvlLbl val="0"/>
      </c:catAx>
      <c:valAx>
        <c:axId val="145381248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145379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 Rental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2020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strRef>
              <c:f>'Car Rental'!$C$22:$C$33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'Car Rental'!$D$22:$D$33</c:f>
              <c:numCache>
                <c:formatCode>_("$"* #,##0_);_("$"* \(#,##0\);_("$"* "-"??_);_(@_)</c:formatCode>
                <c:ptCount val="12"/>
                <c:pt idx="0">
                  <c:v>344712.85</c:v>
                </c:pt>
                <c:pt idx="1">
                  <c:v>302489.45</c:v>
                </c:pt>
                <c:pt idx="2">
                  <c:v>225816.84</c:v>
                </c:pt>
                <c:pt idx="3">
                  <c:v>93868.78</c:v>
                </c:pt>
                <c:pt idx="4">
                  <c:v>125806.26</c:v>
                </c:pt>
                <c:pt idx="5">
                  <c:v>181193.34999999998</c:v>
                </c:pt>
                <c:pt idx="6">
                  <c:v>282055.35000000003</c:v>
                </c:pt>
                <c:pt idx="7">
                  <c:v>319730.69</c:v>
                </c:pt>
                <c:pt idx="8">
                  <c:v>293695.03000000003</c:v>
                </c:pt>
                <c:pt idx="9">
                  <c:v>366205.07</c:v>
                </c:pt>
                <c:pt idx="10">
                  <c:v>239388.90999999997</c:v>
                </c:pt>
                <c:pt idx="11">
                  <c:v>179464.01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9-4F91-AB57-F23A7BB998F0}"/>
            </c:ext>
          </c:extLst>
        </c:ser>
        <c:ser>
          <c:idx val="0"/>
          <c:order val="1"/>
          <c:tx>
            <c:v>2021</c:v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cat>
            <c:strRef>
              <c:f>'Car Rental'!$C$22:$C$33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'Car Rental'!$E$22:$E$33</c:f>
              <c:numCache>
                <c:formatCode>_("$"* #,##0_);_("$"* \(#,##0\);_("$"* "-"??_);_(@_)</c:formatCode>
                <c:ptCount val="12"/>
                <c:pt idx="0">
                  <c:v>159305.38</c:v>
                </c:pt>
                <c:pt idx="1">
                  <c:v>185925.08</c:v>
                </c:pt>
                <c:pt idx="2">
                  <c:v>269702.45</c:v>
                </c:pt>
                <c:pt idx="3">
                  <c:v>343546.81</c:v>
                </c:pt>
                <c:pt idx="4">
                  <c:v>472302.77821999998</c:v>
                </c:pt>
                <c:pt idx="5">
                  <c:v>482231.11</c:v>
                </c:pt>
                <c:pt idx="6">
                  <c:v>531708.56999999995</c:v>
                </c:pt>
                <c:pt idx="7">
                  <c:v>519143.10000000003</c:v>
                </c:pt>
                <c:pt idx="8">
                  <c:v>384198.88</c:v>
                </c:pt>
                <c:pt idx="9">
                  <c:v>495606.44999999995</c:v>
                </c:pt>
                <c:pt idx="10">
                  <c:v>388059.78</c:v>
                </c:pt>
                <c:pt idx="11">
                  <c:v>322661.02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9-4831-97A8-CC640FF8D11B}"/>
            </c:ext>
          </c:extLst>
        </c:ser>
        <c:ser>
          <c:idx val="1"/>
          <c:order val="2"/>
          <c:tx>
            <c:v>2022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val>
            <c:numRef>
              <c:f>'Car Rental'!$F$22:$F$33</c:f>
              <c:numCache>
                <c:formatCode>_("$"* #,##0_);_("$"* \(#,##0\);_("$"* "-"??_);_(@_)</c:formatCode>
                <c:ptCount val="12"/>
                <c:pt idx="0">
                  <c:v>278830.72000000003</c:v>
                </c:pt>
                <c:pt idx="1">
                  <c:v>289309.88</c:v>
                </c:pt>
                <c:pt idx="2">
                  <c:v>335506.42</c:v>
                </c:pt>
                <c:pt idx="3">
                  <c:v>313776.92</c:v>
                </c:pt>
                <c:pt idx="4">
                  <c:v>448138.77</c:v>
                </c:pt>
                <c:pt idx="5">
                  <c:v>530976.82000000007</c:v>
                </c:pt>
                <c:pt idx="6">
                  <c:v>535683.69999999995</c:v>
                </c:pt>
                <c:pt idx="7">
                  <c:v>577671.92000000004</c:v>
                </c:pt>
                <c:pt idx="8">
                  <c:v>587848.48</c:v>
                </c:pt>
                <c:pt idx="9">
                  <c:v>593016.04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C-4217-BDFE-1DE5DE15E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412864"/>
        <c:axId val="145414400"/>
      </c:barChart>
      <c:catAx>
        <c:axId val="14541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5414400"/>
        <c:crosses val="autoZero"/>
        <c:auto val="1"/>
        <c:lblAlgn val="ctr"/>
        <c:lblOffset val="100"/>
        <c:noMultiLvlLbl val="0"/>
      </c:catAx>
      <c:valAx>
        <c:axId val="14541440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54128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Parking</a:t>
            </a:r>
            <a:r>
              <a:rPr lang="en-US" baseline="0"/>
              <a:t> Revenue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2020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strRef>
              <c:f>Parking!$B$21:$B$32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Parking!$C$21:$C$32</c:f>
              <c:numCache>
                <c:formatCode>_("$"* #,##0_);_("$"* \(#,##0\);_("$"* "-"??_);_(@_)</c:formatCode>
                <c:ptCount val="12"/>
                <c:pt idx="0">
                  <c:v>149812</c:v>
                </c:pt>
                <c:pt idx="1">
                  <c:v>155993</c:v>
                </c:pt>
                <c:pt idx="2">
                  <c:v>131050</c:v>
                </c:pt>
                <c:pt idx="3">
                  <c:v>15788</c:v>
                </c:pt>
                <c:pt idx="4">
                  <c:v>18228</c:v>
                </c:pt>
                <c:pt idx="5">
                  <c:v>33163</c:v>
                </c:pt>
                <c:pt idx="6">
                  <c:v>41248.11</c:v>
                </c:pt>
                <c:pt idx="7">
                  <c:v>68037.45</c:v>
                </c:pt>
                <c:pt idx="8">
                  <c:v>73060</c:v>
                </c:pt>
                <c:pt idx="9">
                  <c:v>67886</c:v>
                </c:pt>
                <c:pt idx="10">
                  <c:v>76086</c:v>
                </c:pt>
                <c:pt idx="11">
                  <c:v>69603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0-4FF0-968F-C8C820D13AF7}"/>
            </c:ext>
          </c:extLst>
        </c:ser>
        <c:ser>
          <c:idx val="2"/>
          <c:order val="1"/>
          <c:tx>
            <c:v>2021</c:v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cat>
            <c:strRef>
              <c:f>Parking!$B$21:$B$32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Parking!$D$21:$D$32</c:f>
              <c:numCache>
                <c:formatCode>_("$"* #,##0_);_("$"* \(#,##0\);_("$"* "-"??_);_(@_)</c:formatCode>
                <c:ptCount val="12"/>
                <c:pt idx="0">
                  <c:v>70384</c:v>
                </c:pt>
                <c:pt idx="1">
                  <c:v>62204</c:v>
                </c:pt>
                <c:pt idx="2">
                  <c:v>99069.02</c:v>
                </c:pt>
                <c:pt idx="3">
                  <c:v>90869</c:v>
                </c:pt>
                <c:pt idx="4">
                  <c:v>102991.01</c:v>
                </c:pt>
                <c:pt idx="5">
                  <c:v>113806</c:v>
                </c:pt>
                <c:pt idx="6">
                  <c:v>113257</c:v>
                </c:pt>
                <c:pt idx="7">
                  <c:v>100897.54</c:v>
                </c:pt>
                <c:pt idx="8">
                  <c:v>97541.2</c:v>
                </c:pt>
                <c:pt idx="9">
                  <c:v>113833</c:v>
                </c:pt>
                <c:pt idx="10">
                  <c:v>123567</c:v>
                </c:pt>
                <c:pt idx="11">
                  <c:v>127005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0-4207-8A8C-74711937B409}"/>
            </c:ext>
          </c:extLst>
        </c:ser>
        <c:ser>
          <c:idx val="0"/>
          <c:order val="2"/>
          <c:tx>
            <c:v>2022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val>
            <c:numRef>
              <c:f>Parking!$E$21:$E$32</c:f>
              <c:numCache>
                <c:formatCode>_("$"* #,##0_);_("$"* \(#,##0\);_("$"* "-"??_);_(@_)</c:formatCode>
                <c:ptCount val="12"/>
                <c:pt idx="0">
                  <c:v>120620</c:v>
                </c:pt>
                <c:pt idx="1">
                  <c:v>135105.5</c:v>
                </c:pt>
                <c:pt idx="2">
                  <c:v>164245.54</c:v>
                </c:pt>
                <c:pt idx="3">
                  <c:v>145768</c:v>
                </c:pt>
                <c:pt idx="4">
                  <c:v>138654.85999999999</c:v>
                </c:pt>
                <c:pt idx="5">
                  <c:v>116490.4</c:v>
                </c:pt>
                <c:pt idx="6">
                  <c:v>118249.73</c:v>
                </c:pt>
                <c:pt idx="7">
                  <c:v>121480.04</c:v>
                </c:pt>
                <c:pt idx="8">
                  <c:v>131992.18</c:v>
                </c:pt>
                <c:pt idx="9">
                  <c:v>144697.53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6-401F-90D9-829F75720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126144"/>
        <c:axId val="147127680"/>
        <c:axId val="0"/>
      </c:bar3DChart>
      <c:catAx>
        <c:axId val="14712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7127680"/>
        <c:crosses val="autoZero"/>
        <c:auto val="1"/>
        <c:lblAlgn val="ctr"/>
        <c:lblOffset val="100"/>
        <c:noMultiLvlLbl val="0"/>
      </c:catAx>
      <c:valAx>
        <c:axId val="14712768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147126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6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Parking Net Revenue 2022</a:t>
            </a:r>
            <a:endParaRPr lang="en-US" sz="16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04673046927368"/>
          <c:y val="0.14933025965818494"/>
          <c:w val="0.81839478999799187"/>
          <c:h val="0.74150369166425467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Parking!$B$21:$B$32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Parking!$I$21:$I$24</c:f>
              <c:numCache>
                <c:formatCode>_("$"* #,##0_);_("$"* \(#,##0\);_("$"* "-"??_);_(@_)</c:formatCode>
                <c:ptCount val="4"/>
                <c:pt idx="0">
                  <c:v>100246</c:v>
                </c:pt>
                <c:pt idx="1">
                  <c:v>114763.17</c:v>
                </c:pt>
                <c:pt idx="2">
                  <c:v>139608.71</c:v>
                </c:pt>
                <c:pt idx="3">
                  <c:v>145768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9-48DC-843F-2CFB7DA7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85664"/>
        <c:axId val="147187200"/>
      </c:lineChart>
      <c:catAx>
        <c:axId val="147185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 anchor="b" anchorCtr="1"/>
          <a:lstStyle/>
          <a:p>
            <a:pPr>
              <a:defRPr/>
            </a:pPr>
            <a:endParaRPr lang="en-US"/>
          </a:p>
        </c:txPr>
        <c:crossAx val="147187200"/>
        <c:crosses val="autoZero"/>
        <c:auto val="1"/>
        <c:lblAlgn val="ctr"/>
        <c:lblOffset val="100"/>
        <c:noMultiLvlLbl val="0"/>
      </c:catAx>
      <c:valAx>
        <c:axId val="147187200"/>
        <c:scaling>
          <c:orientation val="minMax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low"/>
        <c:crossAx val="147185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 Customs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v>2020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strRef>
              <c:f>'US Customs'!$C$22:$C$33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 Customs'!$D$22:$D$33</c:f>
              <c:numCache>
                <c:formatCode>0</c:formatCode>
                <c:ptCount val="12"/>
                <c:pt idx="0">
                  <c:v>16</c:v>
                </c:pt>
                <c:pt idx="1">
                  <c:v>15</c:v>
                </c:pt>
                <c:pt idx="2">
                  <c:v>11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7</c:v>
                </c:pt>
                <c:pt idx="8">
                  <c:v>11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4-4459-9AD6-728DA67AC5EC}"/>
            </c:ext>
          </c:extLst>
        </c:ser>
        <c:ser>
          <c:idx val="0"/>
          <c:order val="1"/>
          <c:tx>
            <c:v>2021</c:v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cat>
            <c:strRef>
              <c:f>'US Customs'!$C$22:$C$33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 Customs'!$E$22:$E$33</c:f>
              <c:numCache>
                <c:formatCode>0</c:formatCode>
                <c:ptCount val="12"/>
                <c:pt idx="0">
                  <c:v>9</c:v>
                </c:pt>
                <c:pt idx="1">
                  <c:v>2</c:v>
                </c:pt>
                <c:pt idx="2">
                  <c:v>9</c:v>
                </c:pt>
                <c:pt idx="3">
                  <c:v>7</c:v>
                </c:pt>
                <c:pt idx="4">
                  <c:v>11</c:v>
                </c:pt>
                <c:pt idx="5">
                  <c:v>14</c:v>
                </c:pt>
                <c:pt idx="6">
                  <c:v>22</c:v>
                </c:pt>
                <c:pt idx="7">
                  <c:v>28</c:v>
                </c:pt>
                <c:pt idx="8">
                  <c:v>26</c:v>
                </c:pt>
                <c:pt idx="9">
                  <c:v>46</c:v>
                </c:pt>
                <c:pt idx="10">
                  <c:v>23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2-4513-A223-93235E3EEF6C}"/>
            </c:ext>
          </c:extLst>
        </c:ser>
        <c:ser>
          <c:idx val="1"/>
          <c:order val="2"/>
          <c:tx>
            <c:v>2022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val>
            <c:numRef>
              <c:f>'US Customs'!$F$22:$F$33</c:f>
              <c:numCache>
                <c:formatCode>0</c:formatCode>
                <c:ptCount val="12"/>
                <c:pt idx="0">
                  <c:v>11</c:v>
                </c:pt>
                <c:pt idx="1">
                  <c:v>10</c:v>
                </c:pt>
                <c:pt idx="2">
                  <c:v>28</c:v>
                </c:pt>
                <c:pt idx="3">
                  <c:v>15</c:v>
                </c:pt>
                <c:pt idx="4">
                  <c:v>29</c:v>
                </c:pt>
                <c:pt idx="5">
                  <c:v>35</c:v>
                </c:pt>
                <c:pt idx="6">
                  <c:v>71</c:v>
                </c:pt>
                <c:pt idx="7">
                  <c:v>29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E-420E-A695-E1BA8A66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804864"/>
        <c:axId val="142806400"/>
        <c:axId val="0"/>
      </c:bar3DChart>
      <c:catAx>
        <c:axId val="14280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2806400"/>
        <c:crosses val="autoZero"/>
        <c:auto val="1"/>
        <c:lblAlgn val="ctr"/>
        <c:lblOffset val="100"/>
        <c:noMultiLvlLbl val="0"/>
      </c:catAx>
      <c:valAx>
        <c:axId val="142806400"/>
        <c:scaling>
          <c:orientation val="minMax"/>
          <c:max val="1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1428048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Passengers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'Total Pax'!$B$29:$B$40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Pax'!$C$29:$C$40</c:f>
              <c:numCache>
                <c:formatCode>_(* #,##0_);_(* \(#,##0\);_(* "-"??_);_(@_)</c:formatCode>
                <c:ptCount val="12"/>
                <c:pt idx="0">
                  <c:v>24194</c:v>
                </c:pt>
                <c:pt idx="1">
                  <c:v>25431</c:v>
                </c:pt>
                <c:pt idx="2">
                  <c:v>31422</c:v>
                </c:pt>
                <c:pt idx="3">
                  <c:v>27248</c:v>
                </c:pt>
                <c:pt idx="4">
                  <c:v>27122</c:v>
                </c:pt>
                <c:pt idx="5">
                  <c:v>29319</c:v>
                </c:pt>
                <c:pt idx="6">
                  <c:v>32774</c:v>
                </c:pt>
                <c:pt idx="7">
                  <c:v>29869</c:v>
                </c:pt>
                <c:pt idx="8">
                  <c:v>26067</c:v>
                </c:pt>
                <c:pt idx="9">
                  <c:v>28923</c:v>
                </c:pt>
                <c:pt idx="10">
                  <c:v>27238</c:v>
                </c:pt>
                <c:pt idx="11">
                  <c:v>31547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0-4CBF-9B1C-209726976009}"/>
            </c:ext>
          </c:extLst>
        </c:ser>
        <c:ser>
          <c:idx val="0"/>
          <c:order val="1"/>
          <c:tx>
            <c:v>2020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'Total Pax'!$D$29:$D$40</c:f>
              <c:numCache>
                <c:formatCode>_(* #,##0_);_(* \(#,##0\);_(* "-"??_);_(@_)</c:formatCode>
                <c:ptCount val="12"/>
                <c:pt idx="0">
                  <c:v>26153</c:v>
                </c:pt>
                <c:pt idx="1">
                  <c:v>27225</c:v>
                </c:pt>
                <c:pt idx="2">
                  <c:v>19688</c:v>
                </c:pt>
                <c:pt idx="3">
                  <c:v>1975</c:v>
                </c:pt>
                <c:pt idx="4">
                  <c:v>4577</c:v>
                </c:pt>
                <c:pt idx="5">
                  <c:v>8488</c:v>
                </c:pt>
                <c:pt idx="6">
                  <c:v>13223</c:v>
                </c:pt>
                <c:pt idx="7">
                  <c:v>15790</c:v>
                </c:pt>
                <c:pt idx="8">
                  <c:v>13922</c:v>
                </c:pt>
                <c:pt idx="9">
                  <c:v>15711</c:v>
                </c:pt>
                <c:pt idx="10">
                  <c:v>14033</c:v>
                </c:pt>
                <c:pt idx="11">
                  <c:v>15651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2-4C40-BC75-177E88F2BF25}"/>
            </c:ext>
          </c:extLst>
        </c:ser>
        <c:ser>
          <c:idx val="2"/>
          <c:order val="2"/>
          <c:tx>
            <c:strRef>
              <c:f>'Total Pax'!$E$28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'Total Pax'!$B$29:$B$40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Pax'!$E$29:$E$40</c:f>
              <c:numCache>
                <c:formatCode>_(* #,##0_);_(* \(#,##0\);_(* "-"??_);_(@_)</c:formatCode>
                <c:ptCount val="12"/>
                <c:pt idx="0">
                  <c:v>12796</c:v>
                </c:pt>
                <c:pt idx="1">
                  <c:v>13611</c:v>
                </c:pt>
                <c:pt idx="2">
                  <c:v>20410</c:v>
                </c:pt>
                <c:pt idx="3">
                  <c:v>19675</c:v>
                </c:pt>
                <c:pt idx="4">
                  <c:v>23183</c:v>
                </c:pt>
                <c:pt idx="5">
                  <c:v>25642</c:v>
                </c:pt>
                <c:pt idx="6">
                  <c:v>27501</c:v>
                </c:pt>
                <c:pt idx="7">
                  <c:v>23055</c:v>
                </c:pt>
                <c:pt idx="8">
                  <c:v>20535</c:v>
                </c:pt>
                <c:pt idx="9">
                  <c:v>23951</c:v>
                </c:pt>
                <c:pt idx="10">
                  <c:v>23841</c:v>
                </c:pt>
                <c:pt idx="11">
                  <c:v>25783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E-4A7F-BD70-6650756A6747}"/>
            </c:ext>
          </c:extLst>
        </c:ser>
        <c:ser>
          <c:idx val="3"/>
          <c:order val="3"/>
          <c:tx>
            <c:strRef>
              <c:f>'Total Pax'!$G$28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'Total Pax'!$B$29:$B$40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Pax'!$G$29:$G$40</c:f>
              <c:numCache>
                <c:formatCode>_(* #,##0_);_(* \(#,##0\);_(* "-"??_);_(@_)</c:formatCode>
                <c:ptCount val="12"/>
                <c:pt idx="0">
                  <c:v>19675</c:v>
                </c:pt>
                <c:pt idx="1">
                  <c:v>21911</c:v>
                </c:pt>
                <c:pt idx="2">
                  <c:v>26663</c:v>
                </c:pt>
                <c:pt idx="3">
                  <c:v>20950</c:v>
                </c:pt>
                <c:pt idx="4">
                  <c:v>26005</c:v>
                </c:pt>
                <c:pt idx="5">
                  <c:v>23730</c:v>
                </c:pt>
                <c:pt idx="6">
                  <c:v>23839</c:v>
                </c:pt>
                <c:pt idx="7">
                  <c:v>23836</c:v>
                </c:pt>
                <c:pt idx="8">
                  <c:v>25714</c:v>
                </c:pt>
                <c:pt idx="9">
                  <c:v>26102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8-40AB-B657-3168F6965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80640"/>
        <c:axId val="140082560"/>
      </c:lineChart>
      <c:catAx>
        <c:axId val="14008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82560"/>
        <c:crosses val="autoZero"/>
        <c:auto val="1"/>
        <c:lblAlgn val="ctr"/>
        <c:lblOffset val="100"/>
        <c:noMultiLvlLbl val="0"/>
      </c:catAx>
      <c:valAx>
        <c:axId val="140082560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80640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Cargo - Freight 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FedEx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Cargo!$B$22:$B$33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Cargo!$C$22:$C$33</c:f>
              <c:numCache>
                <c:formatCode>#,##0.00</c:formatCode>
                <c:ptCount val="12"/>
                <c:pt idx="0">
                  <c:v>18.157</c:v>
                </c:pt>
                <c:pt idx="1">
                  <c:v>20.382999999999999</c:v>
                </c:pt>
                <c:pt idx="2">
                  <c:v>49.833500000000001</c:v>
                </c:pt>
                <c:pt idx="3">
                  <c:v>27.088999999999999</c:v>
                </c:pt>
                <c:pt idx="4">
                  <c:v>33.911999999999999</c:v>
                </c:pt>
                <c:pt idx="5">
                  <c:v>36.494999999999997</c:v>
                </c:pt>
                <c:pt idx="6">
                  <c:v>33.4</c:v>
                </c:pt>
                <c:pt idx="7">
                  <c:v>33.92</c:v>
                </c:pt>
                <c:pt idx="8">
                  <c:v>33.909999999999997</c:v>
                </c:pt>
                <c:pt idx="9">
                  <c:v>29.94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A-4E47-9EC6-7EB16E0DA1BD}"/>
            </c:ext>
          </c:extLst>
        </c:ser>
        <c:ser>
          <c:idx val="1"/>
          <c:order val="1"/>
          <c:tx>
            <c:v>UPS</c:v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  <a:sp3d>
              <a:contourClr>
                <a:srgbClr val="C00000"/>
              </a:contourClr>
            </a:sp3d>
          </c:spPr>
          <c:invertIfNegative val="0"/>
          <c:cat>
            <c:strRef>
              <c:f>Cargo!$B$22:$B$33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Cargo!$E$22:$E$33</c:f>
              <c:numCache>
                <c:formatCode>#,##0.00</c:formatCode>
                <c:ptCount val="12"/>
                <c:pt idx="0">
                  <c:v>30.427500000000002</c:v>
                </c:pt>
                <c:pt idx="1">
                  <c:v>26.7515</c:v>
                </c:pt>
                <c:pt idx="2">
                  <c:v>36.458500000000001</c:v>
                </c:pt>
                <c:pt idx="3">
                  <c:v>31.597999999999999</c:v>
                </c:pt>
                <c:pt idx="4">
                  <c:v>35.605000000000004</c:v>
                </c:pt>
                <c:pt idx="5">
                  <c:v>35.604500000000002</c:v>
                </c:pt>
                <c:pt idx="6">
                  <c:v>32.950000000000003</c:v>
                </c:pt>
                <c:pt idx="7">
                  <c:v>42.25</c:v>
                </c:pt>
                <c:pt idx="8">
                  <c:v>50.709999999999994</c:v>
                </c:pt>
                <c:pt idx="9">
                  <c:v>33.61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A-4E47-9EC6-7EB16E0D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005824"/>
        <c:axId val="147007360"/>
        <c:axId val="0"/>
      </c:bar3DChart>
      <c:catAx>
        <c:axId val="14700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07360"/>
        <c:crosses val="autoZero"/>
        <c:auto val="1"/>
        <c:lblAlgn val="ctr"/>
        <c:lblOffset val="100"/>
        <c:noMultiLvlLbl val="0"/>
      </c:catAx>
      <c:valAx>
        <c:axId val="14700736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Tonnage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058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Gross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[2]Concessions!$B$26:$B$37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[2]Concessions!$C$26:$C$37</c:f>
              <c:numCache>
                <c:formatCode>General</c:formatCode>
                <c:ptCount val="12"/>
                <c:pt idx="0">
                  <c:v>90060.33</c:v>
                </c:pt>
                <c:pt idx="1">
                  <c:v>93620.34</c:v>
                </c:pt>
                <c:pt idx="2">
                  <c:v>63141.23</c:v>
                </c:pt>
                <c:pt idx="3">
                  <c:v>3435.17</c:v>
                </c:pt>
                <c:pt idx="4">
                  <c:v>9684.26</c:v>
                </c:pt>
                <c:pt idx="5">
                  <c:v>24578.52</c:v>
                </c:pt>
                <c:pt idx="6">
                  <c:v>38712.370000000003</c:v>
                </c:pt>
                <c:pt idx="7">
                  <c:v>46560.740000000005</c:v>
                </c:pt>
                <c:pt idx="8">
                  <c:v>43459.88</c:v>
                </c:pt>
                <c:pt idx="9">
                  <c:v>51707.08</c:v>
                </c:pt>
                <c:pt idx="10">
                  <c:v>44307</c:v>
                </c:pt>
                <c:pt idx="11">
                  <c:v>49334.11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6-4666-B19A-31079C7F5C78}"/>
            </c:ext>
          </c:extLst>
        </c:ser>
        <c:ser>
          <c:idx val="1"/>
          <c:order val="1"/>
          <c:tx>
            <c:v>2021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[2]Concessions!$B$26:$B$37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[2]Concessions!$D$26:$D$37</c:f>
              <c:numCache>
                <c:formatCode>General</c:formatCode>
                <c:ptCount val="12"/>
                <c:pt idx="0">
                  <c:v>46194.42</c:v>
                </c:pt>
                <c:pt idx="1">
                  <c:v>52769.090000000004</c:v>
                </c:pt>
                <c:pt idx="2">
                  <c:v>75644.09</c:v>
                </c:pt>
                <c:pt idx="3">
                  <c:v>75068.429999999993</c:v>
                </c:pt>
                <c:pt idx="4">
                  <c:v>82168</c:v>
                </c:pt>
                <c:pt idx="5">
                  <c:v>89074.92</c:v>
                </c:pt>
                <c:pt idx="6">
                  <c:v>93840.07</c:v>
                </c:pt>
                <c:pt idx="7">
                  <c:v>76797.899999999994</c:v>
                </c:pt>
                <c:pt idx="8">
                  <c:v>68533.899999999994</c:v>
                </c:pt>
                <c:pt idx="9">
                  <c:v>82215.91</c:v>
                </c:pt>
                <c:pt idx="10">
                  <c:v>80080.899999999994</c:v>
                </c:pt>
                <c:pt idx="11">
                  <c:v>99871.52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6-4666-B19A-31079C7F5C78}"/>
            </c:ext>
          </c:extLst>
        </c:ser>
        <c:ser>
          <c:idx val="2"/>
          <c:order val="2"/>
          <c:tx>
            <c:v>2022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70C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46-4666-B19A-31079C7F5C78}"/>
              </c:ext>
            </c:extLst>
          </c:dPt>
          <c:val>
            <c:numRef>
              <c:f>Concessions!$E$26:$E$37</c:f>
              <c:numCache>
                <c:formatCode>_("$"* #,##0.00_);_("$"* \(#,##0.00\);_("$"* "-"??_);_(@_)</c:formatCode>
                <c:ptCount val="12"/>
                <c:pt idx="0">
                  <c:v>69148.460000000006</c:v>
                </c:pt>
                <c:pt idx="1">
                  <c:v>90474.21</c:v>
                </c:pt>
                <c:pt idx="2">
                  <c:v>99008.599999999991</c:v>
                </c:pt>
                <c:pt idx="3">
                  <c:v>82844.05</c:v>
                </c:pt>
                <c:pt idx="4">
                  <c:v>105084.18000000001</c:v>
                </c:pt>
                <c:pt idx="5">
                  <c:v>90715.95</c:v>
                </c:pt>
                <c:pt idx="6">
                  <c:v>96559.33</c:v>
                </c:pt>
                <c:pt idx="7">
                  <c:v>95967.47</c:v>
                </c:pt>
                <c:pt idx="8">
                  <c:v>103038.94</c:v>
                </c:pt>
                <c:pt idx="9">
                  <c:v>109919.55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46-4666-B19A-31079C7F5C78}"/>
            </c:ext>
          </c:extLst>
        </c:ser>
        <c:ser>
          <c:idx val="3"/>
          <c:order val="3"/>
          <c:tx>
            <c:v>Mag Sales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[2]Concessions!$B$26:$B$37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[2]Concessions!$F$26:$F$37</c:f>
              <c:numCache>
                <c:formatCode>General</c:formatCode>
                <c:ptCount val="12"/>
                <c:pt idx="0">
                  <c:v>97139.083333333343</c:v>
                </c:pt>
                <c:pt idx="1">
                  <c:v>97139.083333333343</c:v>
                </c:pt>
                <c:pt idx="2">
                  <c:v>97139.083333333343</c:v>
                </c:pt>
                <c:pt idx="3">
                  <c:v>97139.083333333343</c:v>
                </c:pt>
                <c:pt idx="4">
                  <c:v>97139.083333333343</c:v>
                </c:pt>
                <c:pt idx="5">
                  <c:v>97139.083333333343</c:v>
                </c:pt>
                <c:pt idx="6">
                  <c:v>97139.083333333343</c:v>
                </c:pt>
                <c:pt idx="7">
                  <c:v>97139.083333333343</c:v>
                </c:pt>
                <c:pt idx="8">
                  <c:v>97139.083333333343</c:v>
                </c:pt>
                <c:pt idx="9">
                  <c:v>97139.083333333343</c:v>
                </c:pt>
                <c:pt idx="10">
                  <c:v>97139.083333333343</c:v>
                </c:pt>
                <c:pt idx="11">
                  <c:v>97139.083333333343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46-4666-B19A-31079C7F5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61600"/>
        <c:axId val="605591616"/>
      </c:lineChart>
      <c:catAx>
        <c:axId val="521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591616"/>
        <c:crosses val="autoZero"/>
        <c:auto val="1"/>
        <c:lblAlgn val="ctr"/>
        <c:lblOffset val="100"/>
        <c:noMultiLvlLbl val="0"/>
      </c:catAx>
      <c:valAx>
        <c:axId val="60559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36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Gross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Concessions!$K$24:$K$25</c:f>
              <c:strCache>
                <c:ptCount val="2"/>
                <c:pt idx="0">
                  <c:v> Payments</c:v>
                </c:pt>
                <c:pt idx="1">
                  <c:v>2020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Concessions!$J$26:$J$37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Concessions!$K$26:$K$37</c:f>
              <c:numCache>
                <c:formatCode>_("$"* #,##0.00_);_("$"* \(#,##0.00\);_("$"* "-"??_);_(@_)</c:formatCode>
                <c:ptCount val="12"/>
                <c:pt idx="0">
                  <c:v>11826.13</c:v>
                </c:pt>
                <c:pt idx="1">
                  <c:v>12327.75</c:v>
                </c:pt>
                <c:pt idx="2">
                  <c:v>11399.6</c:v>
                </c:pt>
                <c:pt idx="3">
                  <c:v>444.31</c:v>
                </c:pt>
                <c:pt idx="4">
                  <c:v>1247.2248999999999</c:v>
                </c:pt>
                <c:pt idx="5">
                  <c:v>3320.4312</c:v>
                </c:pt>
                <c:pt idx="6">
                  <c:v>11317.17</c:v>
                </c:pt>
                <c:pt idx="7">
                  <c:v>17177.71</c:v>
                </c:pt>
                <c:pt idx="8">
                  <c:v>17177.71</c:v>
                </c:pt>
                <c:pt idx="9">
                  <c:v>17177.71</c:v>
                </c:pt>
                <c:pt idx="10">
                  <c:v>17177.71</c:v>
                </c:pt>
                <c:pt idx="11">
                  <c:v>17177.71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7-4057-B7F6-5F077C52535B}"/>
            </c:ext>
          </c:extLst>
        </c:ser>
        <c:ser>
          <c:idx val="1"/>
          <c:order val="1"/>
          <c:tx>
            <c:strRef>
              <c:f>Concessions!$L$24:$L$25</c:f>
              <c:strCache>
                <c:ptCount val="2"/>
                <c:pt idx="0">
                  <c:v> Payments</c:v>
                </c:pt>
                <c:pt idx="1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Concessions!$J$26:$J$37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Concessions!$L$26:$L$37</c:f>
              <c:numCache>
                <c:formatCode>_("$"* #,##0.00_);_("$"* \(#,##0.00\);_("$"* "-"??_);_(@_)</c:formatCode>
                <c:ptCount val="12"/>
                <c:pt idx="0">
                  <c:v>11317.17</c:v>
                </c:pt>
                <c:pt idx="1">
                  <c:v>11317.17</c:v>
                </c:pt>
                <c:pt idx="2">
                  <c:v>11317.17</c:v>
                </c:pt>
                <c:pt idx="3">
                  <c:v>11317.17</c:v>
                </c:pt>
                <c:pt idx="4">
                  <c:v>11317.17</c:v>
                </c:pt>
                <c:pt idx="5">
                  <c:v>11754</c:v>
                </c:pt>
                <c:pt idx="6">
                  <c:v>12316.14</c:v>
                </c:pt>
                <c:pt idx="7">
                  <c:v>11317.17</c:v>
                </c:pt>
                <c:pt idx="8">
                  <c:v>11317.17</c:v>
                </c:pt>
                <c:pt idx="9">
                  <c:v>11317.17</c:v>
                </c:pt>
                <c:pt idx="10">
                  <c:v>11317.17</c:v>
                </c:pt>
                <c:pt idx="11">
                  <c:v>13129.84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7-4057-B7F6-5F077C52535B}"/>
            </c:ext>
          </c:extLst>
        </c:ser>
        <c:ser>
          <c:idx val="2"/>
          <c:order val="2"/>
          <c:tx>
            <c:strRef>
              <c:f>Concessions!$M$24:$M$25</c:f>
              <c:strCache>
                <c:ptCount val="2"/>
                <c:pt idx="0">
                  <c:v> Payments</c:v>
                </c:pt>
                <c:pt idx="1">
                  <c:v>2022</c:v>
                </c:pt>
              </c:strCache>
            </c:strRef>
          </c:tx>
          <c:spPr>
            <a:ln w="28575" cap="rnd">
              <a:solidFill>
                <a:srgbClr val="66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6600FF"/>
                </a:solidFill>
              </a:ln>
              <a:effectLst/>
            </c:spPr>
          </c:marker>
          <c:cat>
            <c:strRef>
              <c:f>Concessions!$J$26:$J$37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Concessions!$M$26:$M$37</c:f>
              <c:numCache>
                <c:formatCode>_("$"* #,##0.00_);_("$"* \(#,##0.00\);_("$"* "-"??_);_(@_)</c:formatCode>
                <c:ptCount val="12"/>
                <c:pt idx="0">
                  <c:v>11317.17</c:v>
                </c:pt>
                <c:pt idx="1">
                  <c:v>8068.75</c:v>
                </c:pt>
                <c:pt idx="2">
                  <c:v>13416.49</c:v>
                </c:pt>
                <c:pt idx="3">
                  <c:v>11656.69</c:v>
                </c:pt>
                <c:pt idx="4">
                  <c:v>13930.77</c:v>
                </c:pt>
                <c:pt idx="5">
                  <c:v>11964.28</c:v>
                </c:pt>
                <c:pt idx="6">
                  <c:v>12657.73</c:v>
                </c:pt>
                <c:pt idx="7">
                  <c:v>12548.6</c:v>
                </c:pt>
                <c:pt idx="8">
                  <c:v>13530.91</c:v>
                </c:pt>
                <c:pt idx="9">
                  <c:v>14492.29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C7-4057-B7F6-5F077C52535B}"/>
            </c:ext>
          </c:extLst>
        </c:ser>
        <c:ser>
          <c:idx val="3"/>
          <c:order val="3"/>
          <c:tx>
            <c:strRef>
              <c:f>Concessions!$N$24:$N$25</c:f>
              <c:strCache>
                <c:ptCount val="2"/>
                <c:pt idx="0">
                  <c:v>2022 Required MAG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Concessions!$J$26:$J$37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Concessions!$N$26:$N$37</c:f>
              <c:numCache>
                <c:formatCode>_("$"* #,##0.00_);_("$"* \(#,##0.00\);_("$"* "-"??_);_(@_)</c:formatCode>
                <c:ptCount val="12"/>
                <c:pt idx="0">
                  <c:v>11656.69</c:v>
                </c:pt>
                <c:pt idx="1">
                  <c:v>11656.69</c:v>
                </c:pt>
                <c:pt idx="2">
                  <c:v>11656.69</c:v>
                </c:pt>
                <c:pt idx="3">
                  <c:v>11656.69</c:v>
                </c:pt>
                <c:pt idx="4">
                  <c:v>11656.69</c:v>
                </c:pt>
                <c:pt idx="5">
                  <c:v>11656.69</c:v>
                </c:pt>
                <c:pt idx="6">
                  <c:v>11656.69</c:v>
                </c:pt>
                <c:pt idx="7">
                  <c:v>11656.69</c:v>
                </c:pt>
                <c:pt idx="8">
                  <c:v>11656.69</c:v>
                </c:pt>
                <c:pt idx="9">
                  <c:v>11656.69</c:v>
                </c:pt>
                <c:pt idx="10">
                  <c:v>11656.69</c:v>
                </c:pt>
                <c:pt idx="11">
                  <c:v>11656.69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C7-4057-B7F6-5F077C52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61600"/>
        <c:axId val="605591616"/>
      </c:lineChart>
      <c:catAx>
        <c:axId val="521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591616"/>
        <c:crosses val="autoZero"/>
        <c:auto val="1"/>
        <c:lblAlgn val="ctr"/>
        <c:lblOffset val="100"/>
        <c:noMultiLvlLbl val="0"/>
      </c:catAx>
      <c:valAx>
        <c:axId val="60559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36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Enplanements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'Total Enplaned'!$D$22:$D$33</c:f>
              <c:numCache>
                <c:formatCode>General</c:formatCode>
                <c:ptCount val="12"/>
                <c:pt idx="0">
                  <c:v>12160</c:v>
                </c:pt>
                <c:pt idx="1">
                  <c:v>13058</c:v>
                </c:pt>
                <c:pt idx="2">
                  <c:v>15513</c:v>
                </c:pt>
                <c:pt idx="3">
                  <c:v>13156</c:v>
                </c:pt>
                <c:pt idx="4">
                  <c:v>13613</c:v>
                </c:pt>
                <c:pt idx="5">
                  <c:v>14184</c:v>
                </c:pt>
                <c:pt idx="6">
                  <c:v>16485</c:v>
                </c:pt>
                <c:pt idx="7">
                  <c:v>14979</c:v>
                </c:pt>
                <c:pt idx="8">
                  <c:v>12945</c:v>
                </c:pt>
                <c:pt idx="9">
                  <c:v>15019</c:v>
                </c:pt>
                <c:pt idx="10">
                  <c:v>13982</c:v>
                </c:pt>
                <c:pt idx="11">
                  <c:v>16085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B-4E88-A8C9-53DA3F7BC20A}"/>
            </c:ext>
          </c:extLst>
        </c:ser>
        <c:ser>
          <c:idx val="1"/>
          <c:order val="1"/>
          <c:tx>
            <c:v>2020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'Total Enplaned'!$C$22:$C$33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Enplaned'!$E$22:$E$33</c:f>
              <c:numCache>
                <c:formatCode>_(* #,##0_);_(* \(#,##0\);_(* "-"??_);_(@_)</c:formatCode>
                <c:ptCount val="12"/>
                <c:pt idx="0">
                  <c:v>13135</c:v>
                </c:pt>
                <c:pt idx="1">
                  <c:v>13732</c:v>
                </c:pt>
                <c:pt idx="2">
                  <c:v>8607</c:v>
                </c:pt>
                <c:pt idx="3">
                  <c:v>875</c:v>
                </c:pt>
                <c:pt idx="4">
                  <c:v>2090</c:v>
                </c:pt>
                <c:pt idx="5">
                  <c:v>4055</c:v>
                </c:pt>
                <c:pt idx="6">
                  <c:v>6664</c:v>
                </c:pt>
                <c:pt idx="7">
                  <c:v>7823</c:v>
                </c:pt>
                <c:pt idx="8">
                  <c:v>7014</c:v>
                </c:pt>
                <c:pt idx="9">
                  <c:v>8103</c:v>
                </c:pt>
                <c:pt idx="10">
                  <c:v>7245</c:v>
                </c:pt>
                <c:pt idx="11">
                  <c:v>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D-4197-90E2-48A6721EB703}"/>
            </c:ext>
          </c:extLst>
        </c:ser>
        <c:ser>
          <c:idx val="0"/>
          <c:order val="2"/>
          <c:tx>
            <c:v>2021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'Total Enplaned'!$C$22:$C$33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'Total Enplaned'!$F$22:$F$33</c:f>
              <c:numCache>
                <c:formatCode>_(* #,##0_);_(* \(#,##0\);_(* "-"??_);_(@_)</c:formatCode>
                <c:ptCount val="12"/>
                <c:pt idx="0">
                  <c:v>6044</c:v>
                </c:pt>
                <c:pt idx="1">
                  <c:v>6916</c:v>
                </c:pt>
                <c:pt idx="2">
                  <c:v>10064</c:v>
                </c:pt>
                <c:pt idx="3">
                  <c:v>9483</c:v>
                </c:pt>
                <c:pt idx="4">
                  <c:v>11400</c:v>
                </c:pt>
                <c:pt idx="5">
                  <c:v>12400</c:v>
                </c:pt>
                <c:pt idx="6">
                  <c:v>13625</c:v>
                </c:pt>
                <c:pt idx="7">
                  <c:v>11515</c:v>
                </c:pt>
                <c:pt idx="8">
                  <c:v>10342</c:v>
                </c:pt>
                <c:pt idx="9">
                  <c:v>12270</c:v>
                </c:pt>
                <c:pt idx="10">
                  <c:v>12086</c:v>
                </c:pt>
                <c:pt idx="11">
                  <c:v>13297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E-4E38-B503-256D9E073C04}"/>
            </c:ext>
          </c:extLst>
        </c:ser>
        <c:ser>
          <c:idx val="2"/>
          <c:order val="3"/>
          <c:tx>
            <c:v>2022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'Total Enplaned'!$G$22:$G$33</c:f>
              <c:numCache>
                <c:formatCode>_(* #,##0_);_(* \(#,##0\);_(* "-"??_);_(@_)</c:formatCode>
                <c:ptCount val="12"/>
                <c:pt idx="0">
                  <c:v>9793</c:v>
                </c:pt>
                <c:pt idx="1">
                  <c:v>10997</c:v>
                </c:pt>
                <c:pt idx="2">
                  <c:v>13097</c:v>
                </c:pt>
                <c:pt idx="3">
                  <c:v>10345</c:v>
                </c:pt>
                <c:pt idx="4">
                  <c:v>12841</c:v>
                </c:pt>
                <c:pt idx="5">
                  <c:v>11720</c:v>
                </c:pt>
                <c:pt idx="6">
                  <c:v>11674</c:v>
                </c:pt>
                <c:pt idx="7">
                  <c:v>11815</c:v>
                </c:pt>
                <c:pt idx="8">
                  <c:v>12917</c:v>
                </c:pt>
                <c:pt idx="9">
                  <c:v>13243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B-45D6-A6F5-87EE48CBB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33792"/>
        <c:axId val="517134208"/>
      </c:lineChart>
      <c:catAx>
        <c:axId val="51713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134208"/>
        <c:crosses val="autoZero"/>
        <c:auto val="1"/>
        <c:lblAlgn val="ctr"/>
        <c:lblOffset val="100"/>
        <c:tickMarkSkip val="2"/>
        <c:noMultiLvlLbl val="0"/>
      </c:catAx>
      <c:valAx>
        <c:axId val="5171342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13379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Enplaned Passengers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'Rev Enplaned'!$B$27:$B$38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 Enplaned'!$C$27:$C$38</c:f>
              <c:numCache>
                <c:formatCode>_(* #,##0_);_(* \(#,##0\);_(* "-"??_);_(@_)</c:formatCode>
                <c:ptCount val="12"/>
                <c:pt idx="0">
                  <c:v>11785</c:v>
                </c:pt>
                <c:pt idx="1">
                  <c:v>12732</c:v>
                </c:pt>
                <c:pt idx="2">
                  <c:v>15107</c:v>
                </c:pt>
                <c:pt idx="3">
                  <c:v>12743</c:v>
                </c:pt>
                <c:pt idx="4">
                  <c:v>13122</c:v>
                </c:pt>
                <c:pt idx="5">
                  <c:v>13632</c:v>
                </c:pt>
                <c:pt idx="6">
                  <c:v>15954</c:v>
                </c:pt>
                <c:pt idx="7">
                  <c:v>14497</c:v>
                </c:pt>
                <c:pt idx="8">
                  <c:v>12496</c:v>
                </c:pt>
                <c:pt idx="9">
                  <c:v>14589</c:v>
                </c:pt>
                <c:pt idx="10">
                  <c:v>13613</c:v>
                </c:pt>
                <c:pt idx="11">
                  <c:v>15718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9-4D27-8D65-0421DD7A30F4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'Rev Enplaned'!$B$27:$B$38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 Enplaned'!$D$27:$D$38</c:f>
              <c:numCache>
                <c:formatCode>_(* #,##0_);_(* \(#,##0\);_(* "-"??_);_(@_)</c:formatCode>
                <c:ptCount val="12"/>
                <c:pt idx="0">
                  <c:v>12846</c:v>
                </c:pt>
                <c:pt idx="1">
                  <c:v>13403</c:v>
                </c:pt>
                <c:pt idx="2">
                  <c:v>8384</c:v>
                </c:pt>
                <c:pt idx="3">
                  <c:v>801</c:v>
                </c:pt>
                <c:pt idx="4">
                  <c:v>1966</c:v>
                </c:pt>
                <c:pt idx="5">
                  <c:v>3912</c:v>
                </c:pt>
                <c:pt idx="6">
                  <c:v>6511</c:v>
                </c:pt>
                <c:pt idx="7">
                  <c:v>7611</c:v>
                </c:pt>
                <c:pt idx="8">
                  <c:v>6848</c:v>
                </c:pt>
                <c:pt idx="9">
                  <c:v>7867</c:v>
                </c:pt>
                <c:pt idx="10">
                  <c:v>7067</c:v>
                </c:pt>
                <c:pt idx="11">
                  <c:v>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A-4335-97BB-1DC0DE01C9FE}"/>
            </c:ext>
          </c:extLst>
        </c:ser>
        <c:ser>
          <c:idx val="0"/>
          <c:order val="2"/>
          <c:tx>
            <c:v>2021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'Rev Enplaned'!$B$27:$B$38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 Enplaned'!$E$27:$E$38</c:f>
              <c:numCache>
                <c:formatCode>_(* #,##0_);_(* \(#,##0\);_(* "-"??_);_(@_)</c:formatCode>
                <c:ptCount val="12"/>
                <c:pt idx="0">
                  <c:v>5877</c:v>
                </c:pt>
                <c:pt idx="1">
                  <c:v>6718</c:v>
                </c:pt>
                <c:pt idx="2">
                  <c:v>9822</c:v>
                </c:pt>
                <c:pt idx="3">
                  <c:v>9186</c:v>
                </c:pt>
                <c:pt idx="4">
                  <c:v>11081</c:v>
                </c:pt>
                <c:pt idx="5">
                  <c:v>12084</c:v>
                </c:pt>
                <c:pt idx="6">
                  <c:v>13289</c:v>
                </c:pt>
                <c:pt idx="7">
                  <c:v>11144</c:v>
                </c:pt>
                <c:pt idx="8">
                  <c:v>10094</c:v>
                </c:pt>
                <c:pt idx="9">
                  <c:v>11975</c:v>
                </c:pt>
                <c:pt idx="10">
                  <c:v>11834</c:v>
                </c:pt>
                <c:pt idx="11">
                  <c:v>13077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0-49B9-87DC-F17C8C4FC32C}"/>
            </c:ext>
          </c:extLst>
        </c:ser>
        <c:ser>
          <c:idx val="3"/>
          <c:order val="3"/>
          <c:tx>
            <c:v>2022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'Rev Enplaned'!$G$27:$G$38</c:f>
              <c:numCache>
                <c:formatCode>_(* #,##0_);_(* \(#,##0\);_(* "-"??_);_(@_)</c:formatCode>
                <c:ptCount val="12"/>
                <c:pt idx="0">
                  <c:v>9557</c:v>
                </c:pt>
                <c:pt idx="1">
                  <c:v>10696</c:v>
                </c:pt>
                <c:pt idx="2">
                  <c:v>12903</c:v>
                </c:pt>
                <c:pt idx="3">
                  <c:v>10149</c:v>
                </c:pt>
                <c:pt idx="4">
                  <c:v>11977</c:v>
                </c:pt>
                <c:pt idx="5">
                  <c:v>11373</c:v>
                </c:pt>
                <c:pt idx="6">
                  <c:v>11346</c:v>
                </c:pt>
                <c:pt idx="7">
                  <c:v>11466</c:v>
                </c:pt>
                <c:pt idx="8">
                  <c:v>12593</c:v>
                </c:pt>
                <c:pt idx="9">
                  <c:v>12934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B-4F72-8699-E5219565A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88608"/>
        <c:axId val="129590784"/>
      </c:lineChart>
      <c:catAx>
        <c:axId val="12958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590784"/>
        <c:crosses val="autoZero"/>
        <c:auto val="1"/>
        <c:lblAlgn val="ctr"/>
        <c:lblOffset val="100"/>
        <c:noMultiLvlLbl val="0"/>
      </c:catAx>
      <c:valAx>
        <c:axId val="1295907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588608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Non-Revenue Passengers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Revenue Enplanements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  <a:sp3d>
              <a:contourClr>
                <a:srgbClr val="0070C0"/>
              </a:contourClr>
            </a:sp3d>
          </c:spPr>
          <c:invertIfNegative val="0"/>
          <c:cat>
            <c:strRef>
              <c:f>'Non-Rev'!$B$24:$B$35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'Non-Rev'!$H$24:$H$35</c:f>
              <c:numCache>
                <c:formatCode>_(* #,##0_);_(* \(#,##0\);_(* "-"??_);_(@_)</c:formatCode>
                <c:ptCount val="12"/>
                <c:pt idx="0">
                  <c:v>9557</c:v>
                </c:pt>
                <c:pt idx="1">
                  <c:v>10696</c:v>
                </c:pt>
                <c:pt idx="2">
                  <c:v>12903</c:v>
                </c:pt>
                <c:pt idx="3">
                  <c:v>10149</c:v>
                </c:pt>
                <c:pt idx="4">
                  <c:v>11977</c:v>
                </c:pt>
                <c:pt idx="5">
                  <c:v>11373</c:v>
                </c:pt>
                <c:pt idx="6">
                  <c:v>11346</c:v>
                </c:pt>
                <c:pt idx="7">
                  <c:v>11466</c:v>
                </c:pt>
                <c:pt idx="8">
                  <c:v>12593</c:v>
                </c:pt>
                <c:pt idx="9">
                  <c:v>12934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7-4564-B087-5AF0C0AC045E}"/>
            </c:ext>
          </c:extLst>
        </c:ser>
        <c:ser>
          <c:idx val="1"/>
          <c:order val="1"/>
          <c:tx>
            <c:v>Non-Revenue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  <a:sp3d>
              <a:contourClr>
                <a:srgbClr val="FF0000"/>
              </a:contourClr>
            </a:sp3d>
          </c:spPr>
          <c:invertIfNegative val="0"/>
          <c:cat>
            <c:strRef>
              <c:f>'Non-Rev'!$B$24:$B$35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'Non-Rev'!$I$24:$I$35</c:f>
              <c:numCache>
                <c:formatCode>_(* #,##0_);_(* \(#,##0\);_(* "-"??_);_(@_)</c:formatCode>
                <c:ptCount val="12"/>
                <c:pt idx="0">
                  <c:v>236</c:v>
                </c:pt>
                <c:pt idx="1">
                  <c:v>301</c:v>
                </c:pt>
                <c:pt idx="2">
                  <c:v>194</c:v>
                </c:pt>
                <c:pt idx="3">
                  <c:v>196</c:v>
                </c:pt>
                <c:pt idx="4">
                  <c:v>864</c:v>
                </c:pt>
                <c:pt idx="5">
                  <c:v>347</c:v>
                </c:pt>
                <c:pt idx="6">
                  <c:v>328</c:v>
                </c:pt>
                <c:pt idx="7">
                  <c:v>349</c:v>
                </c:pt>
                <c:pt idx="8">
                  <c:v>324</c:v>
                </c:pt>
                <c:pt idx="9">
                  <c:v>309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B7-4564-B087-5AF0C0AC0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165696"/>
        <c:axId val="139167232"/>
        <c:axId val="0"/>
      </c:bar3DChart>
      <c:catAx>
        <c:axId val="13916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67232"/>
        <c:crosses val="autoZero"/>
        <c:auto val="1"/>
        <c:lblAlgn val="ctr"/>
        <c:lblOffset val="100"/>
        <c:noMultiLvlLbl val="0"/>
      </c:catAx>
      <c:valAx>
        <c:axId val="13916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6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Deplaned Passengers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'Deplaned Pax'!$B$24:$B$35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'Deplaned Pax'!$C$24:$C$35</c:f>
              <c:numCache>
                <c:formatCode>_(* #,##0_);_(* \(#,##0\);_(* "-"??_);_(@_)</c:formatCode>
                <c:ptCount val="12"/>
                <c:pt idx="0">
                  <c:v>12034</c:v>
                </c:pt>
                <c:pt idx="1">
                  <c:v>12373</c:v>
                </c:pt>
                <c:pt idx="2">
                  <c:v>15909</c:v>
                </c:pt>
                <c:pt idx="3">
                  <c:v>14092</c:v>
                </c:pt>
                <c:pt idx="4">
                  <c:v>13509</c:v>
                </c:pt>
                <c:pt idx="5">
                  <c:v>15135</c:v>
                </c:pt>
                <c:pt idx="6">
                  <c:v>16289</c:v>
                </c:pt>
                <c:pt idx="7">
                  <c:v>14890</c:v>
                </c:pt>
                <c:pt idx="8">
                  <c:v>13122</c:v>
                </c:pt>
                <c:pt idx="9">
                  <c:v>13904</c:v>
                </c:pt>
                <c:pt idx="10">
                  <c:v>13256</c:v>
                </c:pt>
                <c:pt idx="11">
                  <c:v>15462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F-4D09-9B9A-E5194848EB57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'Deplaned Pax'!$B$24:$B$35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'Deplaned Pax'!$D$24:$D$35</c:f>
              <c:numCache>
                <c:formatCode>_(* #,##0_);_(* \(#,##0\);_(* "-"??_);_(@_)</c:formatCode>
                <c:ptCount val="12"/>
                <c:pt idx="0">
                  <c:v>13018</c:v>
                </c:pt>
                <c:pt idx="1">
                  <c:v>13493</c:v>
                </c:pt>
                <c:pt idx="2">
                  <c:v>11081</c:v>
                </c:pt>
                <c:pt idx="3">
                  <c:v>1100</c:v>
                </c:pt>
                <c:pt idx="4">
                  <c:v>2487</c:v>
                </c:pt>
                <c:pt idx="5">
                  <c:v>4433</c:v>
                </c:pt>
                <c:pt idx="6">
                  <c:v>6559</c:v>
                </c:pt>
                <c:pt idx="7">
                  <c:v>7967</c:v>
                </c:pt>
                <c:pt idx="8">
                  <c:v>6908</c:v>
                </c:pt>
                <c:pt idx="9">
                  <c:v>7608</c:v>
                </c:pt>
                <c:pt idx="10">
                  <c:v>6788</c:v>
                </c:pt>
                <c:pt idx="11">
                  <c:v>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9-4971-B766-59DAE647D52C}"/>
            </c:ext>
          </c:extLst>
        </c:ser>
        <c:ser>
          <c:idx val="3"/>
          <c:order val="2"/>
          <c:tx>
            <c:v>2021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'Deplaned Pax'!$B$24:$B$35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'Deplaned Pax'!$E$24:$E$35</c:f>
              <c:numCache>
                <c:formatCode>_(* #,##0_);_(* \(#,##0\);_(* "-"??_);_(@_)</c:formatCode>
                <c:ptCount val="12"/>
                <c:pt idx="0">
                  <c:v>6752</c:v>
                </c:pt>
                <c:pt idx="1">
                  <c:v>6695</c:v>
                </c:pt>
                <c:pt idx="2">
                  <c:v>10346</c:v>
                </c:pt>
                <c:pt idx="3">
                  <c:v>10192</c:v>
                </c:pt>
                <c:pt idx="4">
                  <c:v>11783</c:v>
                </c:pt>
                <c:pt idx="5">
                  <c:v>13242</c:v>
                </c:pt>
                <c:pt idx="6">
                  <c:v>13876</c:v>
                </c:pt>
                <c:pt idx="7">
                  <c:v>11540</c:v>
                </c:pt>
                <c:pt idx="8">
                  <c:v>10193</c:v>
                </c:pt>
                <c:pt idx="9">
                  <c:v>11681</c:v>
                </c:pt>
                <c:pt idx="10">
                  <c:v>11755</c:v>
                </c:pt>
                <c:pt idx="11">
                  <c:v>12486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7-4C0A-B400-B9014C3A42D2}"/>
            </c:ext>
          </c:extLst>
        </c:ser>
        <c:ser>
          <c:idx val="0"/>
          <c:order val="3"/>
          <c:tx>
            <c:v>2022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'Deplaned Pax'!$G$24:$G$35</c:f>
              <c:numCache>
                <c:formatCode>_(* #,##0_);_(* \(#,##0\);_(* "-"??_);_(@_)</c:formatCode>
                <c:ptCount val="12"/>
                <c:pt idx="0">
                  <c:v>9902</c:v>
                </c:pt>
                <c:pt idx="1">
                  <c:v>10914</c:v>
                </c:pt>
                <c:pt idx="2">
                  <c:v>13566</c:v>
                </c:pt>
                <c:pt idx="3">
                  <c:v>10605</c:v>
                </c:pt>
                <c:pt idx="4">
                  <c:v>13164</c:v>
                </c:pt>
                <c:pt idx="5">
                  <c:v>12010</c:v>
                </c:pt>
                <c:pt idx="6">
                  <c:v>12165</c:v>
                </c:pt>
                <c:pt idx="7">
                  <c:v>12021</c:v>
                </c:pt>
                <c:pt idx="8">
                  <c:v>12797</c:v>
                </c:pt>
                <c:pt idx="9">
                  <c:v>12859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1-418B-B09A-706392097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04736"/>
        <c:axId val="141606912"/>
      </c:lineChart>
      <c:catAx>
        <c:axId val="14160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06912"/>
        <c:crosses val="autoZero"/>
        <c:auto val="1"/>
        <c:lblAlgn val="ctr"/>
        <c:lblOffset val="100"/>
        <c:noMultiLvlLbl val="0"/>
      </c:catAx>
      <c:valAx>
        <c:axId val="141606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0473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Deplaned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'Rev Deplaned'!$B$22:$B$33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 Deplaned'!$C$22:$C$33</c:f>
              <c:numCache>
                <c:formatCode>_(* #,##0_);_(* \(#,##0\);_(* "-"??_);_(@_)</c:formatCode>
                <c:ptCount val="12"/>
                <c:pt idx="0">
                  <c:v>11693</c:v>
                </c:pt>
                <c:pt idx="1">
                  <c:v>12081</c:v>
                </c:pt>
                <c:pt idx="2">
                  <c:v>15529</c:v>
                </c:pt>
                <c:pt idx="3">
                  <c:v>13672</c:v>
                </c:pt>
                <c:pt idx="4">
                  <c:v>13111</c:v>
                </c:pt>
                <c:pt idx="5">
                  <c:v>14571</c:v>
                </c:pt>
                <c:pt idx="6">
                  <c:v>15783</c:v>
                </c:pt>
                <c:pt idx="7">
                  <c:v>14430</c:v>
                </c:pt>
                <c:pt idx="8">
                  <c:v>12737</c:v>
                </c:pt>
                <c:pt idx="9">
                  <c:v>13488</c:v>
                </c:pt>
                <c:pt idx="10">
                  <c:v>12922</c:v>
                </c:pt>
                <c:pt idx="11">
                  <c:v>15100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C-4623-8E18-BC05926ABEC3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'Rev Deplaned'!$B$22:$B$33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 Deplaned'!$D$22:$D$33</c:f>
              <c:numCache>
                <c:formatCode>_(* #,##0_);_(* \(#,##0\);_(* "-"??_);_(@_)</c:formatCode>
                <c:ptCount val="12"/>
                <c:pt idx="0">
                  <c:v>12737</c:v>
                </c:pt>
                <c:pt idx="1">
                  <c:v>13222</c:v>
                </c:pt>
                <c:pt idx="2">
                  <c:v>10807</c:v>
                </c:pt>
                <c:pt idx="3">
                  <c:v>1036</c:v>
                </c:pt>
                <c:pt idx="4">
                  <c:v>2372</c:v>
                </c:pt>
                <c:pt idx="5">
                  <c:v>4332</c:v>
                </c:pt>
                <c:pt idx="6">
                  <c:v>6410</c:v>
                </c:pt>
                <c:pt idx="7">
                  <c:v>7781</c:v>
                </c:pt>
                <c:pt idx="8">
                  <c:v>6732</c:v>
                </c:pt>
                <c:pt idx="9">
                  <c:v>7375</c:v>
                </c:pt>
                <c:pt idx="10">
                  <c:v>6610</c:v>
                </c:pt>
                <c:pt idx="11">
                  <c:v>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0-43D6-BCAD-AE14B48E05CA}"/>
            </c:ext>
          </c:extLst>
        </c:ser>
        <c:ser>
          <c:idx val="3"/>
          <c:order val="2"/>
          <c:tx>
            <c:v>2021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'Rev Deplaned'!$B$22:$B$33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 Deplaned'!$E$22:$E$33</c:f>
              <c:numCache>
                <c:formatCode>_(* #,##0_);_(* \(#,##0\);_(* "-"??_);_(@_)</c:formatCode>
                <c:ptCount val="12"/>
                <c:pt idx="0">
                  <c:v>6595</c:v>
                </c:pt>
                <c:pt idx="1">
                  <c:v>6526</c:v>
                </c:pt>
                <c:pt idx="2">
                  <c:v>10101</c:v>
                </c:pt>
                <c:pt idx="3">
                  <c:v>9925</c:v>
                </c:pt>
                <c:pt idx="4">
                  <c:v>11458</c:v>
                </c:pt>
                <c:pt idx="5">
                  <c:v>12935</c:v>
                </c:pt>
                <c:pt idx="6">
                  <c:v>13545</c:v>
                </c:pt>
                <c:pt idx="7">
                  <c:v>11190</c:v>
                </c:pt>
                <c:pt idx="8">
                  <c:v>9944</c:v>
                </c:pt>
                <c:pt idx="9">
                  <c:v>11404</c:v>
                </c:pt>
                <c:pt idx="10">
                  <c:v>11506</c:v>
                </c:pt>
                <c:pt idx="11">
                  <c:v>12270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C-4E5B-A20B-951862A8943C}"/>
            </c:ext>
          </c:extLst>
        </c:ser>
        <c:ser>
          <c:idx val="4"/>
          <c:order val="3"/>
          <c:tx>
            <c:v>2022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'Rev Deplaned'!$G$22:$G$33</c:f>
              <c:numCache>
                <c:formatCode>_(* #,##0_);_(* \(#,##0\);_(* "-"??_);_(@_)</c:formatCode>
                <c:ptCount val="12"/>
                <c:pt idx="0">
                  <c:v>9691</c:v>
                </c:pt>
                <c:pt idx="1">
                  <c:v>10641</c:v>
                </c:pt>
                <c:pt idx="2">
                  <c:v>13367</c:v>
                </c:pt>
                <c:pt idx="3">
                  <c:v>10470</c:v>
                </c:pt>
                <c:pt idx="4">
                  <c:v>12793</c:v>
                </c:pt>
                <c:pt idx="5">
                  <c:v>11633</c:v>
                </c:pt>
                <c:pt idx="6">
                  <c:v>11850</c:v>
                </c:pt>
                <c:pt idx="7">
                  <c:v>11659</c:v>
                </c:pt>
                <c:pt idx="8">
                  <c:v>12494</c:v>
                </c:pt>
                <c:pt idx="9">
                  <c:v>12532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D-46C9-BCDA-229138C6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25472"/>
        <c:axId val="139744768"/>
      </c:lineChart>
      <c:catAx>
        <c:axId val="1296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44768"/>
        <c:crosses val="autoZero"/>
        <c:auto val="1"/>
        <c:lblAlgn val="ctr"/>
        <c:lblOffset val="100"/>
        <c:noMultiLvlLbl val="0"/>
      </c:catAx>
      <c:valAx>
        <c:axId val="139744768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2547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Load Factor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'Monthly LF'!$C$26:$C$37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LF'!$D$26:$D$37</c:f>
              <c:numCache>
                <c:formatCode>0.0%</c:formatCode>
                <c:ptCount val="12"/>
                <c:pt idx="0">
                  <c:v>0.81018836793620241</c:v>
                </c:pt>
                <c:pt idx="1">
                  <c:v>0.85169576560305038</c:v>
                </c:pt>
                <c:pt idx="2">
                  <c:v>0.81338502126743117</c:v>
                </c:pt>
                <c:pt idx="3">
                  <c:v>0.74941190308162786</c:v>
                </c:pt>
                <c:pt idx="4">
                  <c:v>0.8684315023163468</c:v>
                </c:pt>
                <c:pt idx="5">
                  <c:v>0.76812982475911418</c:v>
                </c:pt>
                <c:pt idx="6">
                  <c:v>0.83102406500677151</c:v>
                </c:pt>
                <c:pt idx="7">
                  <c:v>0.83807376575326631</c:v>
                </c:pt>
                <c:pt idx="8">
                  <c:v>0.79734558448187853</c:v>
                </c:pt>
                <c:pt idx="9">
                  <c:v>0.84480861659621287</c:v>
                </c:pt>
                <c:pt idx="10">
                  <c:v>0.81276494119051879</c:v>
                </c:pt>
                <c:pt idx="11">
                  <c:v>0.85109378384232182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29-4502-8CF9-2C17952760C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'Monthly LF'!$C$26:$C$37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LF'!$E$26:$E$37</c:f>
              <c:numCache>
                <c:formatCode>0.0%</c:formatCode>
                <c:ptCount val="12"/>
                <c:pt idx="0">
                  <c:v>0.78148193210852901</c:v>
                </c:pt>
                <c:pt idx="1">
                  <c:v>0.84679049785190796</c:v>
                </c:pt>
                <c:pt idx="2">
                  <c:v>0.49943408589980343</c:v>
                </c:pt>
                <c:pt idx="3">
                  <c:v>0.12921438941764801</c:v>
                </c:pt>
                <c:pt idx="4">
                  <c:v>0.30670826833073322</c:v>
                </c:pt>
                <c:pt idx="5">
                  <c:v>0.44780219780219782</c:v>
                </c:pt>
                <c:pt idx="6">
                  <c:v>0.5909957338658437</c:v>
                </c:pt>
                <c:pt idx="7">
                  <c:v>0.4880410387944854</c:v>
                </c:pt>
                <c:pt idx="8">
                  <c:v>0.46836741672936189</c:v>
                </c:pt>
                <c:pt idx="9">
                  <c:v>0.42960899956312798</c:v>
                </c:pt>
                <c:pt idx="10">
                  <c:v>0.40023786600215211</c:v>
                </c:pt>
                <c:pt idx="11">
                  <c:v>0.55748959778085994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C-4EA3-93A3-5ABB06B06B25}"/>
            </c:ext>
          </c:extLst>
        </c:ser>
        <c:ser>
          <c:idx val="3"/>
          <c:order val="2"/>
          <c:tx>
            <c:v>2021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'Monthly LF'!$C$26:$C$37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LF'!$F$26:$F$37</c:f>
              <c:numCache>
                <c:formatCode>0.0%</c:formatCode>
                <c:ptCount val="12"/>
                <c:pt idx="0">
                  <c:v>0.47144232311888334</c:v>
                </c:pt>
                <c:pt idx="1">
                  <c:v>0.50717197644571943</c:v>
                </c:pt>
                <c:pt idx="2">
                  <c:v>0.55319628273725707</c:v>
                </c:pt>
                <c:pt idx="3">
                  <c:v>0.57405324334458196</c:v>
                </c:pt>
                <c:pt idx="4">
                  <c:v>0.81436025575071658</c:v>
                </c:pt>
                <c:pt idx="5">
                  <c:v>0.68905742145178761</c:v>
                </c:pt>
                <c:pt idx="6">
                  <c:v>0.7121268956647554</c:v>
                </c:pt>
                <c:pt idx="7">
                  <c:v>0.69402752693529302</c:v>
                </c:pt>
                <c:pt idx="8">
                  <c:v>0.70233787920957413</c:v>
                </c:pt>
                <c:pt idx="9">
                  <c:v>0.75068956870611836</c:v>
                </c:pt>
                <c:pt idx="10">
                  <c:v>0.74903474903474898</c:v>
                </c:pt>
                <c:pt idx="11">
                  <c:v>0.85103475204998047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1-4079-AABC-35A9F33484C9}"/>
            </c:ext>
          </c:extLst>
        </c:ser>
        <c:ser>
          <c:idx val="0"/>
          <c:order val="3"/>
          <c:tx>
            <c:v>2022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'Monthly LF'!$G$26:$G$37</c:f>
              <c:numCache>
                <c:formatCode>0.0%</c:formatCode>
                <c:ptCount val="12"/>
                <c:pt idx="0">
                  <c:v>0.6896875225517789</c:v>
                </c:pt>
                <c:pt idx="1">
                  <c:v>0.74505270316218974</c:v>
                </c:pt>
                <c:pt idx="2">
                  <c:v>0.85603396802229148</c:v>
                </c:pt>
                <c:pt idx="3">
                  <c:v>0.84168187095704095</c:v>
                </c:pt>
                <c:pt idx="4">
                  <c:v>0.78859737638748739</c:v>
                </c:pt>
                <c:pt idx="5">
                  <c:v>0.77726899945325312</c:v>
                </c:pt>
                <c:pt idx="6">
                  <c:v>0.77558274659922077</c:v>
                </c:pt>
                <c:pt idx="7">
                  <c:v>0.78961504028648166</c:v>
                </c:pt>
                <c:pt idx="8">
                  <c:v>0.81119556815253802</c:v>
                </c:pt>
                <c:pt idx="9">
                  <c:v>0.84724223765229922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B-418B-8010-CA95C2F8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90880"/>
        <c:axId val="142892416"/>
      </c:lineChart>
      <c:catAx>
        <c:axId val="14289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92416"/>
        <c:crosses val="autoZero"/>
        <c:auto val="1"/>
        <c:lblAlgn val="ctr"/>
        <c:lblOffset val="100"/>
        <c:noMultiLvlLbl val="0"/>
      </c:catAx>
      <c:valAx>
        <c:axId val="142892416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9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Seats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9579178425603"/>
          <c:y val="0.16374826755498587"/>
          <c:w val="0.86878126695932656"/>
          <c:h val="0.63933050938479619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'Monthly Seats'!$B$23:$B$34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Seats'!$C$23:$C$34</c:f>
              <c:numCache>
                <c:formatCode>_(* #,##0_);_(* \(#,##0\);_(* "-"??_);_(@_)</c:formatCode>
                <c:ptCount val="12"/>
                <c:pt idx="0">
                  <c:v>14546</c:v>
                </c:pt>
                <c:pt idx="1">
                  <c:v>14949</c:v>
                </c:pt>
                <c:pt idx="2">
                  <c:v>18573</c:v>
                </c:pt>
                <c:pt idx="3">
                  <c:v>17004</c:v>
                </c:pt>
                <c:pt idx="4">
                  <c:v>15110</c:v>
                </c:pt>
                <c:pt idx="5">
                  <c:v>17747</c:v>
                </c:pt>
                <c:pt idx="6">
                  <c:v>19198</c:v>
                </c:pt>
                <c:pt idx="7">
                  <c:v>17298</c:v>
                </c:pt>
                <c:pt idx="8">
                  <c:v>15672</c:v>
                </c:pt>
                <c:pt idx="9">
                  <c:v>17269</c:v>
                </c:pt>
                <c:pt idx="10">
                  <c:v>16749</c:v>
                </c:pt>
                <c:pt idx="11">
                  <c:v>18468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B-4C5A-A36A-B597F1B71AB9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'Monthly Seats'!$B$23:$B$34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Seats'!$D$23:$D$34</c:f>
              <c:numCache>
                <c:formatCode>_(* #,##0_);_(* \(#,##0\);_(* "-"??_);_(@_)</c:formatCode>
                <c:ptCount val="12"/>
                <c:pt idx="0">
                  <c:v>16438</c:v>
                </c:pt>
                <c:pt idx="1">
                  <c:v>15828</c:v>
                </c:pt>
                <c:pt idx="2">
                  <c:v>16787</c:v>
                </c:pt>
                <c:pt idx="3">
                  <c:v>6199</c:v>
                </c:pt>
                <c:pt idx="4">
                  <c:v>6410</c:v>
                </c:pt>
                <c:pt idx="5">
                  <c:v>8736</c:v>
                </c:pt>
                <c:pt idx="6">
                  <c:v>11017</c:v>
                </c:pt>
                <c:pt idx="7">
                  <c:v>15595</c:v>
                </c:pt>
                <c:pt idx="8">
                  <c:v>14621</c:v>
                </c:pt>
                <c:pt idx="9">
                  <c:v>18312</c:v>
                </c:pt>
                <c:pt idx="10">
                  <c:v>17657</c:v>
                </c:pt>
                <c:pt idx="11">
                  <c:v>14420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4-4D48-B13D-939FCAEE27F3}"/>
            </c:ext>
          </c:extLst>
        </c:ser>
        <c:ser>
          <c:idx val="3"/>
          <c:order val="2"/>
          <c:tx>
            <c:v>2021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'Monthly Seats'!$B$23:$B$34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Seats'!$E$23:$E$34</c:f>
              <c:numCache>
                <c:formatCode>_(* #,##0_);_(* \(#,##0\);_(* "-"??_);_(@_)</c:formatCode>
                <c:ptCount val="12"/>
                <c:pt idx="0">
                  <c:v>12466</c:v>
                </c:pt>
                <c:pt idx="1">
                  <c:v>13246</c:v>
                </c:pt>
                <c:pt idx="2">
                  <c:v>17755</c:v>
                </c:pt>
                <c:pt idx="3">
                  <c:v>16002</c:v>
                </c:pt>
                <c:pt idx="4">
                  <c:v>13607</c:v>
                </c:pt>
                <c:pt idx="5">
                  <c:v>17537</c:v>
                </c:pt>
                <c:pt idx="6">
                  <c:v>18661</c:v>
                </c:pt>
                <c:pt idx="7">
                  <c:v>16057</c:v>
                </c:pt>
                <c:pt idx="8">
                  <c:v>14372</c:v>
                </c:pt>
                <c:pt idx="9">
                  <c:v>16135</c:v>
                </c:pt>
                <c:pt idx="10">
                  <c:v>16165</c:v>
                </c:pt>
                <c:pt idx="11">
                  <c:v>15549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A-419E-ADE1-1DF14423BDF9}"/>
            </c:ext>
          </c:extLst>
        </c:ser>
        <c:ser>
          <c:idx val="0"/>
          <c:order val="3"/>
          <c:tx>
            <c:v>2022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'Monthly Seats'!$F$23:$F$34</c:f>
              <c:numCache>
                <c:formatCode>_(* #,##0_);_(* \(#,##0\);_(* "-"??_);_(@_)</c:formatCode>
                <c:ptCount val="12"/>
                <c:pt idx="0">
                  <c:v>13857</c:v>
                </c:pt>
                <c:pt idx="1">
                  <c:v>15071</c:v>
                </c:pt>
                <c:pt idx="2">
                  <c:v>15073</c:v>
                </c:pt>
                <c:pt idx="3">
                  <c:v>12058</c:v>
                </c:pt>
                <c:pt idx="4">
                  <c:v>14980</c:v>
                </c:pt>
                <c:pt idx="5">
                  <c:v>14632</c:v>
                </c:pt>
                <c:pt idx="6">
                  <c:v>14629</c:v>
                </c:pt>
                <c:pt idx="7">
                  <c:v>14521</c:v>
                </c:pt>
                <c:pt idx="8">
                  <c:v>15524</c:v>
                </c:pt>
                <c:pt idx="9">
                  <c:v>15266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A-49C7-A8A4-E28358E6F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09504"/>
        <c:axId val="143123968"/>
      </c:lineChart>
      <c:catAx>
        <c:axId val="14310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23968"/>
        <c:crosses val="autoZero"/>
        <c:auto val="1"/>
        <c:lblAlgn val="ctr"/>
        <c:lblOffset val="100"/>
        <c:noMultiLvlLbl val="0"/>
      </c:catAx>
      <c:valAx>
        <c:axId val="143123968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0950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298676</xdr:colOff>
      <xdr:row>2</xdr:row>
      <xdr:rowOff>148997</xdr:rowOff>
    </xdr:from>
    <xdr:to>
      <xdr:col>6</xdr:col>
      <xdr:colOff>370114</xdr:colOff>
      <xdr:row>22</xdr:row>
      <xdr:rowOff>48985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353104</xdr:colOff>
      <xdr:row>2</xdr:row>
      <xdr:rowOff>154781</xdr:rowOff>
    </xdr:from>
    <xdr:to>
      <xdr:col>9</xdr:col>
      <xdr:colOff>69736</xdr:colOff>
      <xdr:row>24</xdr:row>
      <xdr:rowOff>23811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503767</xdr:colOff>
      <xdr:row>12</xdr:row>
      <xdr:rowOff>141286</xdr:rowOff>
    </xdr:from>
    <xdr:to>
      <xdr:col>7</xdr:col>
      <xdr:colOff>179918</xdr:colOff>
      <xdr:row>28</xdr:row>
      <xdr:rowOff>146049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20</xdr:row>
      <xdr:rowOff>123825</xdr:rowOff>
    </xdr:from>
    <xdr:to>
      <xdr:col>8</xdr:col>
      <xdr:colOff>66675</xdr:colOff>
      <xdr:row>36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36</xdr:row>
      <xdr:rowOff>114300</xdr:rowOff>
    </xdr:from>
    <xdr:to>
      <xdr:col>9</xdr:col>
      <xdr:colOff>276225</xdr:colOff>
      <xdr:row>56</xdr:row>
      <xdr:rowOff>104777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304799</xdr:colOff>
      <xdr:row>21</xdr:row>
      <xdr:rowOff>99059</xdr:rowOff>
    </xdr:from>
    <xdr:to>
      <xdr:col>21</xdr:col>
      <xdr:colOff>17143</xdr:colOff>
      <xdr:row>46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1B72801-6C2F-4C14-96DF-3C118DDAC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393699</xdr:colOff>
      <xdr:row>1</xdr:row>
      <xdr:rowOff>231775</xdr:rowOff>
    </xdr:from>
    <xdr:to>
      <xdr:col>16</xdr:col>
      <xdr:colOff>320674</xdr:colOff>
      <xdr:row>16</xdr:row>
      <xdr:rowOff>153987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98424</xdr:colOff>
      <xdr:row>2</xdr:row>
      <xdr:rowOff>109537</xdr:rowOff>
    </xdr:from>
    <xdr:to>
      <xdr:col>7</xdr:col>
      <xdr:colOff>847725</xdr:colOff>
      <xdr:row>17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</xdr:colOff>
      <xdr:row>2</xdr:row>
      <xdr:rowOff>58737</xdr:rowOff>
    </xdr:from>
    <xdr:to>
      <xdr:col>9</xdr:col>
      <xdr:colOff>1209675</xdr:colOff>
      <xdr:row>17</xdr:row>
      <xdr:rowOff>53975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85724</xdr:colOff>
      <xdr:row>1</xdr:row>
      <xdr:rowOff>109535</xdr:rowOff>
    </xdr:from>
    <xdr:to>
      <xdr:col>19</xdr:col>
      <xdr:colOff>333375</xdr:colOff>
      <xdr:row>16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328380</xdr:colOff>
      <xdr:row>16</xdr:row>
      <xdr:rowOff>180974</xdr:rowOff>
    </xdr:from>
    <xdr:to>
      <xdr:col>18</xdr:col>
      <xdr:colOff>155407</xdr:colOff>
      <xdr:row>35</xdr:row>
      <xdr:rowOff>4592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00930" y="3438524"/>
          <a:ext cx="6532627" cy="36393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250031</xdr:colOff>
      <xdr:row>3</xdr:row>
      <xdr:rowOff>105567</xdr:rowOff>
    </xdr:from>
    <xdr:to>
      <xdr:col>7</xdr:col>
      <xdr:colOff>424656</xdr:colOff>
      <xdr:row>18</xdr:row>
      <xdr:rowOff>162718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19198</xdr:colOff>
      <xdr:row>2</xdr:row>
      <xdr:rowOff>56740</xdr:rowOff>
    </xdr:from>
    <xdr:to>
      <xdr:col>7</xdr:col>
      <xdr:colOff>571500</xdr:colOff>
      <xdr:row>17</xdr:row>
      <xdr:rowOff>128178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296334</xdr:colOff>
      <xdr:row>2</xdr:row>
      <xdr:rowOff>95250</xdr:rowOff>
    </xdr:from>
    <xdr:to>
      <xdr:col>6</xdr:col>
      <xdr:colOff>312210</xdr:colOff>
      <xdr:row>22</xdr:row>
      <xdr:rowOff>48683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4F87339-4C10-4D67-9919-07EF079D3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137583</xdr:colOff>
      <xdr:row>2</xdr:row>
      <xdr:rowOff>105835</xdr:rowOff>
    </xdr:from>
    <xdr:to>
      <xdr:col>14</xdr:col>
      <xdr:colOff>788459</xdr:colOff>
      <xdr:row>22</xdr:row>
      <xdr:rowOff>59268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6321046-6D27-492D-8672-4CEA31A44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176212</xdr:rowOff>
    </xdr:from>
    <xdr:to>
      <xdr:col>7</xdr:col>
      <xdr:colOff>762000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2</xdr:row>
      <xdr:rowOff>57150</xdr:rowOff>
    </xdr:from>
    <xdr:to>
      <xdr:col>9</xdr:col>
      <xdr:colOff>438148</xdr:colOff>
      <xdr:row>18</xdr:row>
      <xdr:rowOff>95249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3</xdr:row>
      <xdr:rowOff>38100</xdr:rowOff>
    </xdr:from>
    <xdr:to>
      <xdr:col>8</xdr:col>
      <xdr:colOff>285750</xdr:colOff>
      <xdr:row>23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92867</xdr:rowOff>
    </xdr:from>
    <xdr:to>
      <xdr:col>8</xdr:col>
      <xdr:colOff>809624</xdr:colOff>
      <xdr:row>20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2</xdr:row>
      <xdr:rowOff>107951</xdr:rowOff>
    </xdr:from>
    <xdr:to>
      <xdr:col>7</xdr:col>
      <xdr:colOff>717550</xdr:colOff>
      <xdr:row>20</xdr:row>
      <xdr:rowOff>117475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2</xdr:row>
      <xdr:rowOff>47625</xdr:rowOff>
    </xdr:from>
    <xdr:to>
      <xdr:col>7</xdr:col>
      <xdr:colOff>819149</xdr:colOff>
      <xdr:row>18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266978</xdr:colOff>
      <xdr:row>3</xdr:row>
      <xdr:rowOff>147357</xdr:rowOff>
    </xdr:from>
    <xdr:to>
      <xdr:col>8</xdr:col>
      <xdr:colOff>224677</xdr:colOff>
      <xdr:row>21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185736</xdr:colOff>
      <xdr:row>2</xdr:row>
      <xdr:rowOff>114300</xdr:rowOff>
    </xdr:from>
    <xdr:to>
      <xdr:col>7</xdr:col>
      <xdr:colOff>628649</xdr:colOff>
      <xdr:row>18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Maria/STATS/Tower%20Operations/2022%20Tower%20Oper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6%20MOT%20S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</sheetNames>
    <sheetDataSet>
      <sheetData sheetId="0">
        <row r="8">
          <cell r="E8">
            <v>396</v>
          </cell>
        </row>
        <row r="18">
          <cell r="D18"/>
          <cell r="E18"/>
          <cell r="F18"/>
          <cell r="I18"/>
          <cell r="J18"/>
        </row>
        <row r="19">
          <cell r="D19"/>
          <cell r="E19"/>
          <cell r="F19"/>
          <cell r="I19"/>
          <cell r="J19"/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y Comparison"/>
      <sheetName val="Total Pax"/>
      <sheetName val="Total Enplaned"/>
      <sheetName val="Rev Enplaned"/>
      <sheetName val="Non-Rev"/>
      <sheetName val="Deplaned Pax"/>
      <sheetName val="Rev Deplaned"/>
      <sheetName val="Monthly LF"/>
      <sheetName val="LF by Airline"/>
      <sheetName val="Monthly Seats"/>
      <sheetName val="Monthly Departures"/>
      <sheetName val="Air Carrier Market Share"/>
      <sheetName val="Tower Operations"/>
      <sheetName val="Car Rental"/>
      <sheetName val="Parking"/>
      <sheetName val="Charters"/>
      <sheetName val="US Customs"/>
      <sheetName val="Cargo"/>
      <sheetName val="Concessions"/>
      <sheetName val="Gal Comparison"/>
      <sheetName val="Fuel F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6">
          <cell r="B26" t="str">
            <v>January</v>
          </cell>
          <cell r="C26">
            <v>90060.33</v>
          </cell>
          <cell r="D26">
            <v>46194.42</v>
          </cell>
          <cell r="F26">
            <v>97139.083333333343</v>
          </cell>
        </row>
        <row r="27">
          <cell r="B27" t="str">
            <v>February</v>
          </cell>
          <cell r="C27">
            <v>93620.34</v>
          </cell>
          <cell r="D27">
            <v>52769.090000000004</v>
          </cell>
          <cell r="F27">
            <v>97139.083333333343</v>
          </cell>
        </row>
        <row r="28">
          <cell r="B28" t="str">
            <v>March</v>
          </cell>
          <cell r="C28">
            <v>63141.23</v>
          </cell>
          <cell r="D28">
            <v>75644.09</v>
          </cell>
          <cell r="F28">
            <v>97139.083333333343</v>
          </cell>
        </row>
        <row r="29">
          <cell r="B29" t="str">
            <v>April</v>
          </cell>
          <cell r="C29">
            <v>3435.17</v>
          </cell>
          <cell r="D29">
            <v>75068.429999999993</v>
          </cell>
          <cell r="F29">
            <v>97139.083333333343</v>
          </cell>
        </row>
        <row r="30">
          <cell r="B30" t="str">
            <v>May</v>
          </cell>
          <cell r="C30">
            <v>9684.26</v>
          </cell>
          <cell r="D30">
            <v>82168</v>
          </cell>
          <cell r="F30">
            <v>97139.083333333343</v>
          </cell>
        </row>
        <row r="31">
          <cell r="B31" t="str">
            <v>June</v>
          </cell>
          <cell r="C31">
            <v>24578.52</v>
          </cell>
          <cell r="D31">
            <v>89074.92</v>
          </cell>
          <cell r="F31">
            <v>97139.083333333343</v>
          </cell>
        </row>
        <row r="32">
          <cell r="B32" t="str">
            <v>July</v>
          </cell>
          <cell r="C32">
            <v>38712.370000000003</v>
          </cell>
          <cell r="D32">
            <v>93840.07</v>
          </cell>
          <cell r="F32">
            <v>97139.083333333343</v>
          </cell>
        </row>
        <row r="33">
          <cell r="B33" t="str">
            <v>August</v>
          </cell>
          <cell r="C33">
            <v>46560.740000000005</v>
          </cell>
          <cell r="D33">
            <v>76797.899999999994</v>
          </cell>
          <cell r="F33">
            <v>97139.083333333343</v>
          </cell>
        </row>
        <row r="34">
          <cell r="B34" t="str">
            <v>September</v>
          </cell>
          <cell r="C34">
            <v>43459.88</v>
          </cell>
          <cell r="D34">
            <v>68533.899999999994</v>
          </cell>
          <cell r="F34">
            <v>97139.083333333343</v>
          </cell>
        </row>
        <row r="35">
          <cell r="B35" t="str">
            <v>October</v>
          </cell>
          <cell r="C35">
            <v>51707.08</v>
          </cell>
          <cell r="D35">
            <v>82215.91</v>
          </cell>
          <cell r="F35">
            <v>97139.083333333343</v>
          </cell>
        </row>
        <row r="36">
          <cell r="B36" t="str">
            <v>November</v>
          </cell>
          <cell r="C36">
            <v>44307</v>
          </cell>
          <cell r="D36">
            <v>80080.899999999994</v>
          </cell>
          <cell r="F36">
            <v>97139.083333333343</v>
          </cell>
        </row>
        <row r="37">
          <cell r="B37" t="str">
            <v>December</v>
          </cell>
          <cell r="C37">
            <v>49334.11</v>
          </cell>
          <cell r="D37">
            <v>99871.52</v>
          </cell>
          <cell r="F37">
            <v>97139.083333333343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view="pageBreakPreview" zoomScaleNormal="100" zoomScaleSheetLayoutView="100" workbookViewId="0">
      <selection activeCell="K38" sqref="K38"/>
    </sheetView>
  </sheetViews>
  <sheetFormatPr defaultRowHeight="15" x14ac:dyDescent="0.25"/>
  <cols>
    <col min="2" max="2" width="15.140625" bestFit="1" customWidth="1"/>
    <col min="3" max="3" width="12.140625" bestFit="1" customWidth="1"/>
    <col min="4" max="4" width="15" bestFit="1" customWidth="1"/>
    <col min="5" max="5" width="11" bestFit="1" customWidth="1"/>
    <col min="6" max="6" width="10.5703125" bestFit="1" customWidth="1"/>
    <col min="8" max="8" width="11.5703125" bestFit="1" customWidth="1"/>
    <col min="9" max="9" width="15" bestFit="1" customWidth="1"/>
    <col min="10" max="10" width="9.5703125" bestFit="1" customWidth="1"/>
    <col min="11" max="11" width="10.5703125" bestFit="1" customWidth="1"/>
  </cols>
  <sheetData>
    <row r="1" spans="1:7" ht="25.5" customHeight="1" x14ac:dyDescent="0.3">
      <c r="A1" s="500" t="s">
        <v>115</v>
      </c>
      <c r="B1" s="500"/>
      <c r="C1" s="500"/>
      <c r="D1" s="500"/>
      <c r="E1" s="500"/>
      <c r="F1" s="500"/>
      <c r="G1" s="500"/>
    </row>
    <row r="2" spans="1:7" ht="20.25" x14ac:dyDescent="0.3">
      <c r="A2" s="500">
        <v>2022</v>
      </c>
      <c r="B2" s="500"/>
      <c r="C2" s="500"/>
      <c r="D2" s="500"/>
      <c r="E2" s="500"/>
      <c r="F2" s="500"/>
      <c r="G2" s="500"/>
    </row>
    <row r="3" spans="1:7" x14ac:dyDescent="0.25">
      <c r="B3" s="50"/>
      <c r="C3" s="50"/>
      <c r="D3" s="50"/>
      <c r="E3" s="50"/>
      <c r="F3" s="50"/>
      <c r="G3" s="50"/>
    </row>
    <row r="23" spans="2:11" ht="15.75" thickBot="1" x14ac:dyDescent="0.3"/>
    <row r="24" spans="2:11" ht="16.5" thickBot="1" x14ac:dyDescent="0.3">
      <c r="B24" s="148">
        <v>2022</v>
      </c>
      <c r="C24" s="149" t="s">
        <v>162</v>
      </c>
      <c r="D24" s="150" t="s">
        <v>13</v>
      </c>
      <c r="E24" s="150" t="s">
        <v>14</v>
      </c>
      <c r="F24" s="151" t="s">
        <v>15</v>
      </c>
      <c r="G24" s="126"/>
      <c r="H24" s="127"/>
      <c r="I24" s="128"/>
      <c r="J24" s="128"/>
      <c r="K24" s="129"/>
    </row>
    <row r="25" spans="2:11" ht="16.5" thickBot="1" x14ac:dyDescent="0.3">
      <c r="B25" s="152" t="s">
        <v>16</v>
      </c>
      <c r="C25" s="153">
        <v>16762</v>
      </c>
      <c r="D25" s="154">
        <v>5972</v>
      </c>
      <c r="E25" s="154">
        <v>9532</v>
      </c>
      <c r="F25" s="155">
        <v>3458</v>
      </c>
      <c r="G25" s="124"/>
      <c r="H25" s="125"/>
      <c r="I25" s="125"/>
      <c r="J25" s="125"/>
      <c r="K25" s="125"/>
    </row>
    <row r="26" spans="2:11" ht="16.5" thickBot="1" x14ac:dyDescent="0.3">
      <c r="B26" s="156" t="s">
        <v>17</v>
      </c>
      <c r="C26" s="157">
        <v>18636</v>
      </c>
      <c r="D26" s="158">
        <v>7941</v>
      </c>
      <c r="E26" s="154">
        <v>10596</v>
      </c>
      <c r="F26" s="159">
        <v>3595</v>
      </c>
      <c r="G26" s="124"/>
      <c r="H26" s="125"/>
      <c r="I26" s="125"/>
      <c r="J26" s="125"/>
      <c r="K26" s="125"/>
    </row>
    <row r="27" spans="2:11" ht="16.5" thickBot="1" x14ac:dyDescent="0.3">
      <c r="B27" s="156" t="s">
        <v>18</v>
      </c>
      <c r="C27" s="157">
        <v>22423</v>
      </c>
      <c r="D27" s="158">
        <v>10803</v>
      </c>
      <c r="E27" s="154">
        <v>12903</v>
      </c>
      <c r="F27" s="159">
        <v>4439</v>
      </c>
      <c r="G27" s="124"/>
      <c r="H27" s="125"/>
      <c r="I27" s="125"/>
      <c r="J27" s="125"/>
      <c r="K27" s="125"/>
    </row>
    <row r="28" spans="2:11" ht="16.5" thickBot="1" x14ac:dyDescent="0.3">
      <c r="B28" s="156" t="s">
        <v>19</v>
      </c>
      <c r="C28" s="157">
        <v>18200</v>
      </c>
      <c r="D28" s="158">
        <v>7640</v>
      </c>
      <c r="E28" s="154">
        <v>10149</v>
      </c>
      <c r="F28" s="159">
        <v>3845</v>
      </c>
      <c r="G28" s="124"/>
      <c r="H28" s="125"/>
      <c r="I28" s="125"/>
      <c r="J28" s="125"/>
      <c r="K28" s="125"/>
    </row>
    <row r="29" spans="2:11" ht="16.5" thickBot="1" x14ac:dyDescent="0.3">
      <c r="B29" s="156" t="s">
        <v>20</v>
      </c>
      <c r="C29" s="157">
        <v>20418</v>
      </c>
      <c r="D29" s="158">
        <v>7706</v>
      </c>
      <c r="E29" s="154">
        <v>12504</v>
      </c>
      <c r="F29" s="159">
        <v>4936</v>
      </c>
      <c r="G29" s="124"/>
      <c r="H29" s="125"/>
      <c r="I29" s="125"/>
      <c r="J29" s="125"/>
      <c r="K29" s="125"/>
    </row>
    <row r="30" spans="2:11" ht="16.5" thickBot="1" x14ac:dyDescent="0.3">
      <c r="B30" s="156" t="s">
        <v>21</v>
      </c>
      <c r="C30" s="157">
        <v>21196</v>
      </c>
      <c r="D30" s="158">
        <v>6502</v>
      </c>
      <c r="E30" s="154">
        <v>11373</v>
      </c>
      <c r="F30" s="159">
        <v>5562</v>
      </c>
      <c r="G30" s="124"/>
      <c r="H30" s="125"/>
      <c r="I30" s="125"/>
      <c r="J30" s="125"/>
      <c r="K30" s="125"/>
    </row>
    <row r="31" spans="2:11" ht="16.5" thickBot="1" x14ac:dyDescent="0.3">
      <c r="B31" s="156" t="s">
        <v>22</v>
      </c>
      <c r="C31" s="157">
        <v>22158</v>
      </c>
      <c r="D31" s="158">
        <v>6514</v>
      </c>
      <c r="E31" s="154">
        <v>11303</v>
      </c>
      <c r="F31" s="159">
        <v>6377</v>
      </c>
      <c r="G31" s="124"/>
      <c r="H31" s="125"/>
      <c r="I31" s="125"/>
      <c r="J31" s="125"/>
      <c r="K31" s="125"/>
    </row>
    <row r="32" spans="2:11" ht="16.5" thickBot="1" x14ac:dyDescent="0.3">
      <c r="B32" s="156" t="s">
        <v>23</v>
      </c>
      <c r="C32" s="157">
        <v>20505</v>
      </c>
      <c r="D32" s="158">
        <v>4220</v>
      </c>
      <c r="E32" s="154">
        <v>11466</v>
      </c>
      <c r="F32" s="159">
        <v>6814</v>
      </c>
      <c r="G32" s="124"/>
      <c r="H32" s="125"/>
      <c r="I32" s="125"/>
      <c r="J32" s="125"/>
      <c r="K32" s="125"/>
    </row>
    <row r="33" spans="2:11" ht="16.5" thickBot="1" x14ac:dyDescent="0.3">
      <c r="B33" s="156" t="s">
        <v>24</v>
      </c>
      <c r="C33" s="157">
        <v>20017</v>
      </c>
      <c r="D33" s="158">
        <v>6081</v>
      </c>
      <c r="E33" s="154">
        <v>12593</v>
      </c>
      <c r="F33" s="159">
        <v>7442</v>
      </c>
      <c r="G33" s="124"/>
      <c r="H33" s="125"/>
      <c r="I33" s="125"/>
      <c r="J33" s="125"/>
      <c r="K33" s="125"/>
    </row>
    <row r="34" spans="2:11" ht="16.5" thickBot="1" x14ac:dyDescent="0.3">
      <c r="B34" s="156" t="s">
        <v>25</v>
      </c>
      <c r="C34" s="157">
        <v>21510</v>
      </c>
      <c r="D34" s="158">
        <v>8868</v>
      </c>
      <c r="E34" s="154">
        <v>12804</v>
      </c>
      <c r="F34" s="159">
        <v>8138</v>
      </c>
      <c r="G34" s="124"/>
      <c r="H34" s="125"/>
      <c r="I34" s="125"/>
      <c r="J34" s="125"/>
      <c r="K34" s="125"/>
    </row>
    <row r="35" spans="2:11" ht="16.5" thickBot="1" x14ac:dyDescent="0.3">
      <c r="B35" s="156" t="s">
        <v>26</v>
      </c>
      <c r="C35" s="157"/>
      <c r="D35" s="158"/>
      <c r="E35" s="154"/>
      <c r="F35" s="160"/>
      <c r="G35" s="124"/>
      <c r="H35" s="125"/>
      <c r="I35" s="125"/>
      <c r="J35" s="125"/>
      <c r="K35" s="125"/>
    </row>
    <row r="36" spans="2:11" ht="16.5" thickBot="1" x14ac:dyDescent="0.3">
      <c r="B36" s="156" t="s">
        <v>27</v>
      </c>
      <c r="C36" s="157"/>
      <c r="D36" s="158"/>
      <c r="E36" s="154"/>
      <c r="F36" s="161"/>
      <c r="G36" s="124"/>
      <c r="H36" s="125"/>
      <c r="I36" s="125"/>
      <c r="J36" s="125"/>
      <c r="K36" s="125"/>
    </row>
    <row r="37" spans="2:11" ht="16.5" thickBot="1" x14ac:dyDescent="0.3">
      <c r="B37" s="309" t="s">
        <v>28</v>
      </c>
      <c r="C37" s="162">
        <f>SUM(C25:C36)</f>
        <v>201825</v>
      </c>
      <c r="D37" s="163">
        <f>SUM(D25:D36)</f>
        <v>72247</v>
      </c>
      <c r="E37" s="164">
        <f>SUM(E25:E36)</f>
        <v>115223</v>
      </c>
      <c r="F37" s="165">
        <f>SUM(F25:F36)</f>
        <v>54606</v>
      </c>
      <c r="G37" s="126"/>
      <c r="H37" s="17"/>
      <c r="I37" s="17"/>
      <c r="J37" s="17"/>
      <c r="K37" s="17"/>
    </row>
    <row r="38" spans="2:11" x14ac:dyDescent="0.25">
      <c r="K38" s="10"/>
    </row>
  </sheetData>
  <mergeCells count="2">
    <mergeCell ref="A1:G1"/>
    <mergeCell ref="A2:G2"/>
  </mergeCells>
  <pageMargins left="1" right="1" top="1" bottom="1" header="0.5" footer="0.5"/>
  <pageSetup scale="9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N36"/>
  <sheetViews>
    <sheetView zoomScaleNormal="100" zoomScaleSheetLayoutView="80" workbookViewId="0">
      <selection activeCell="K16" sqref="K16"/>
    </sheetView>
  </sheetViews>
  <sheetFormatPr defaultRowHeight="15" x14ac:dyDescent="0.25"/>
  <cols>
    <col min="2" max="2" width="16.7109375" customWidth="1"/>
    <col min="3" max="6" width="11" bestFit="1" customWidth="1"/>
    <col min="7" max="7" width="12.42578125" bestFit="1" customWidth="1"/>
    <col min="8" max="8" width="13.85546875" customWidth="1"/>
  </cols>
  <sheetData>
    <row r="1" spans="2:9" ht="23.25" x14ac:dyDescent="0.35">
      <c r="B1" s="506" t="s">
        <v>159</v>
      </c>
      <c r="C1" s="506"/>
      <c r="D1" s="506"/>
      <c r="E1" s="506"/>
      <c r="F1" s="506"/>
      <c r="G1" s="506"/>
      <c r="H1" s="506"/>
      <c r="I1" s="51"/>
    </row>
    <row r="2" spans="2:9" ht="23.25" x14ac:dyDescent="0.35">
      <c r="B2" s="507" t="s">
        <v>213</v>
      </c>
      <c r="C2" s="507"/>
      <c r="D2" s="507"/>
      <c r="E2" s="507"/>
      <c r="F2" s="507"/>
      <c r="G2" s="507"/>
      <c r="H2" s="507"/>
    </row>
    <row r="20" spans="2:14" ht="15.75" thickBot="1" x14ac:dyDescent="0.3"/>
    <row r="21" spans="2:14" ht="15.75" customHeight="1" x14ac:dyDescent="0.25">
      <c r="B21" s="525" t="s">
        <v>30</v>
      </c>
      <c r="C21" s="453" t="s">
        <v>172</v>
      </c>
      <c r="D21" s="453" t="s">
        <v>173</v>
      </c>
      <c r="E21" s="523" t="s">
        <v>174</v>
      </c>
      <c r="F21" s="523" t="s">
        <v>201</v>
      </c>
      <c r="G21" s="412" t="s">
        <v>48</v>
      </c>
      <c r="H21" s="413" t="s">
        <v>179</v>
      </c>
    </row>
    <row r="22" spans="2:14" ht="16.5" thickBot="1" x14ac:dyDescent="0.3">
      <c r="B22" s="526"/>
      <c r="C22" s="454" t="s">
        <v>200</v>
      </c>
      <c r="D22" s="454" t="s">
        <v>200</v>
      </c>
      <c r="E22" s="524"/>
      <c r="F22" s="524"/>
      <c r="G22" s="414" t="s">
        <v>34</v>
      </c>
      <c r="H22" s="415" t="s">
        <v>49</v>
      </c>
    </row>
    <row r="23" spans="2:14" ht="15.75" x14ac:dyDescent="0.25">
      <c r="B23" s="223" t="s">
        <v>16</v>
      </c>
      <c r="C23" s="306">
        <v>14546</v>
      </c>
      <c r="D23" s="306">
        <v>16438</v>
      </c>
      <c r="E23" s="306">
        <v>12466</v>
      </c>
      <c r="F23" s="306">
        <v>13857</v>
      </c>
      <c r="G23" s="307">
        <f t="shared" ref="G23:G32" si="0">F23-E23</f>
        <v>1391</v>
      </c>
      <c r="H23" s="182">
        <f t="shared" ref="H23:H28" si="1">(F23-E23)/E23</f>
        <v>0.11158350713941922</v>
      </c>
    </row>
    <row r="24" spans="2:14" ht="15.75" x14ac:dyDescent="0.25">
      <c r="B24" s="156" t="s">
        <v>17</v>
      </c>
      <c r="C24" s="255">
        <v>14949</v>
      </c>
      <c r="D24" s="255">
        <v>15828</v>
      </c>
      <c r="E24" s="255">
        <v>13246</v>
      </c>
      <c r="F24" s="255">
        <v>15071</v>
      </c>
      <c r="G24" s="307">
        <f t="shared" si="0"/>
        <v>1825</v>
      </c>
      <c r="H24" s="182">
        <f t="shared" si="1"/>
        <v>0.13777744224671598</v>
      </c>
    </row>
    <row r="25" spans="2:14" ht="15.75" x14ac:dyDescent="0.25">
      <c r="B25" s="156" t="s">
        <v>18</v>
      </c>
      <c r="C25" s="255">
        <v>18573</v>
      </c>
      <c r="D25" s="255">
        <v>16787</v>
      </c>
      <c r="E25" s="255">
        <v>17755</v>
      </c>
      <c r="F25" s="255">
        <v>15073</v>
      </c>
      <c r="G25" s="307">
        <f t="shared" si="0"/>
        <v>-2682</v>
      </c>
      <c r="H25" s="182">
        <f t="shared" si="1"/>
        <v>-0.1510560405519572</v>
      </c>
      <c r="J25" s="80"/>
      <c r="K25" s="80"/>
      <c r="L25" s="80"/>
      <c r="M25" s="80"/>
      <c r="N25" s="80"/>
    </row>
    <row r="26" spans="2:14" ht="15.75" x14ac:dyDescent="0.25">
      <c r="B26" s="156" t="s">
        <v>19</v>
      </c>
      <c r="C26" s="255">
        <v>17004</v>
      </c>
      <c r="D26" s="255">
        <v>6199</v>
      </c>
      <c r="E26" s="255">
        <v>16002</v>
      </c>
      <c r="F26" s="255">
        <v>12058</v>
      </c>
      <c r="G26" s="256">
        <f t="shared" si="0"/>
        <v>-3944</v>
      </c>
      <c r="H26" s="182">
        <f t="shared" si="1"/>
        <v>-0.24646919135108111</v>
      </c>
    </row>
    <row r="27" spans="2:14" ht="15.75" x14ac:dyDescent="0.25">
      <c r="B27" s="156" t="s">
        <v>20</v>
      </c>
      <c r="C27" s="255">
        <v>15110</v>
      </c>
      <c r="D27" s="255">
        <v>6410</v>
      </c>
      <c r="E27" s="255">
        <v>13607</v>
      </c>
      <c r="F27" s="255">
        <v>14980</v>
      </c>
      <c r="G27" s="307">
        <f t="shared" si="0"/>
        <v>1373</v>
      </c>
      <c r="H27" s="182">
        <f t="shared" si="1"/>
        <v>0.10090394649812597</v>
      </c>
    </row>
    <row r="28" spans="2:14" ht="15.75" x14ac:dyDescent="0.25">
      <c r="B28" s="156" t="s">
        <v>21</v>
      </c>
      <c r="C28" s="255">
        <v>17747</v>
      </c>
      <c r="D28" s="255">
        <v>8736</v>
      </c>
      <c r="E28" s="255">
        <v>17537</v>
      </c>
      <c r="F28" s="255">
        <v>14632</v>
      </c>
      <c r="G28" s="256">
        <f t="shared" si="0"/>
        <v>-2905</v>
      </c>
      <c r="H28" s="182">
        <f t="shared" si="1"/>
        <v>-0.16564976905970236</v>
      </c>
    </row>
    <row r="29" spans="2:14" ht="15.75" x14ac:dyDescent="0.25">
      <c r="B29" s="156" t="s">
        <v>22</v>
      </c>
      <c r="C29" s="255">
        <v>19198</v>
      </c>
      <c r="D29" s="255">
        <v>11017</v>
      </c>
      <c r="E29" s="424">
        <v>18661</v>
      </c>
      <c r="F29" s="424">
        <v>14629</v>
      </c>
      <c r="G29" s="256">
        <f t="shared" si="0"/>
        <v>-4032</v>
      </c>
      <c r="H29" s="182">
        <f t="shared" ref="H29:H34" si="2">(F29-E29)/E29</f>
        <v>-0.21606559134022829</v>
      </c>
    </row>
    <row r="30" spans="2:14" ht="15.75" x14ac:dyDescent="0.25">
      <c r="B30" s="156" t="s">
        <v>23</v>
      </c>
      <c r="C30" s="255">
        <v>17298</v>
      </c>
      <c r="D30" s="255">
        <v>15595</v>
      </c>
      <c r="E30" s="255">
        <v>16057</v>
      </c>
      <c r="F30" s="255">
        <v>14521</v>
      </c>
      <c r="G30" s="256">
        <f t="shared" si="0"/>
        <v>-1536</v>
      </c>
      <c r="H30" s="182">
        <f t="shared" si="2"/>
        <v>-9.5659214049947067E-2</v>
      </c>
    </row>
    <row r="31" spans="2:14" ht="15.75" x14ac:dyDescent="0.25">
      <c r="B31" s="156" t="s">
        <v>24</v>
      </c>
      <c r="C31" s="255">
        <v>15672</v>
      </c>
      <c r="D31" s="255">
        <v>14621</v>
      </c>
      <c r="E31" s="255">
        <v>14372</v>
      </c>
      <c r="F31" s="255">
        <v>15524</v>
      </c>
      <c r="G31" s="256">
        <f t="shared" si="0"/>
        <v>1152</v>
      </c>
      <c r="H31" s="182">
        <f t="shared" si="2"/>
        <v>8.0155858613971606E-2</v>
      </c>
    </row>
    <row r="32" spans="2:14" ht="15.75" x14ac:dyDescent="0.25">
      <c r="B32" s="156" t="s">
        <v>25</v>
      </c>
      <c r="C32" s="255">
        <v>17269</v>
      </c>
      <c r="D32" s="255">
        <v>18312</v>
      </c>
      <c r="E32" s="255">
        <v>16135</v>
      </c>
      <c r="F32" s="255">
        <v>15266</v>
      </c>
      <c r="G32" s="256">
        <f t="shared" si="0"/>
        <v>-869</v>
      </c>
      <c r="H32" s="182">
        <f t="shared" si="2"/>
        <v>-5.3858072513170124E-2</v>
      </c>
    </row>
    <row r="33" spans="2:8" ht="15.75" x14ac:dyDescent="0.25">
      <c r="B33" s="156" t="s">
        <v>26</v>
      </c>
      <c r="C33" s="255">
        <v>16749</v>
      </c>
      <c r="D33" s="255">
        <v>17657</v>
      </c>
      <c r="E33" s="255">
        <v>16165</v>
      </c>
      <c r="F33" s="255"/>
      <c r="G33" s="256"/>
      <c r="H33" s="182">
        <f t="shared" si="2"/>
        <v>-1</v>
      </c>
    </row>
    <row r="34" spans="2:8" ht="16.5" thickBot="1" x14ac:dyDescent="0.3">
      <c r="B34" s="167" t="s">
        <v>27</v>
      </c>
      <c r="C34" s="308">
        <v>18468</v>
      </c>
      <c r="D34" s="308">
        <v>14420</v>
      </c>
      <c r="E34" s="308">
        <v>15549</v>
      </c>
      <c r="F34" s="308"/>
      <c r="G34" s="256"/>
      <c r="H34" s="182">
        <f t="shared" si="2"/>
        <v>-1</v>
      </c>
    </row>
    <row r="35" spans="2:8" ht="16.5" thickBot="1" x14ac:dyDescent="0.3">
      <c r="B35" s="309" t="s">
        <v>28</v>
      </c>
      <c r="C35" s="310">
        <f>SUM(C23:C34)</f>
        <v>202583</v>
      </c>
      <c r="D35" s="310">
        <f>SUM(D23:D34)</f>
        <v>162020</v>
      </c>
      <c r="E35" s="310">
        <f>SUM(E23:E34)</f>
        <v>187552</v>
      </c>
      <c r="F35" s="310">
        <f>SUM(F23:F34)</f>
        <v>145611</v>
      </c>
      <c r="G35" s="310">
        <f>SUM(G23:G34)</f>
        <v>-10227</v>
      </c>
      <c r="H35" s="191">
        <f>(F35-(E23+E24+E25+E26+E27+E28+E29+E30+E31+E32))/(E23+E24+E25+E26+E27+E28+E29+E30+E31+E32)</f>
        <v>-6.5625842220767727E-2</v>
      </c>
    </row>
    <row r="36" spans="2:8" x14ac:dyDescent="0.25">
      <c r="H36" s="100"/>
    </row>
  </sheetData>
  <mergeCells count="5">
    <mergeCell ref="B1:H1"/>
    <mergeCell ref="B2:H2"/>
    <mergeCell ref="E21:E22"/>
    <mergeCell ref="F21:F22"/>
    <mergeCell ref="B21:B22"/>
  </mergeCells>
  <pageMargins left="1" right="1" top="1" bottom="1" header="0.5" footer="0.5"/>
  <pageSetup scale="7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K40"/>
  <sheetViews>
    <sheetView topLeftCell="C1" zoomScale="90" zoomScaleNormal="90" workbookViewId="0">
      <selection activeCell="F52" sqref="F52"/>
    </sheetView>
  </sheetViews>
  <sheetFormatPr defaultRowHeight="15" x14ac:dyDescent="0.25"/>
  <cols>
    <col min="1" max="1" width="3" customWidth="1"/>
    <col min="2" max="2" width="6.85546875" customWidth="1"/>
    <col min="3" max="3" width="33.42578125" bestFit="1" customWidth="1"/>
    <col min="4" max="6" width="17.140625" customWidth="1"/>
    <col min="7" max="7" width="13.5703125" customWidth="1"/>
    <col min="8" max="8" width="19" bestFit="1" customWidth="1"/>
    <col min="9" max="9" width="22.28515625" bestFit="1" customWidth="1"/>
    <col min="10" max="10" width="8.5703125" customWidth="1"/>
  </cols>
  <sheetData>
    <row r="1" spans="2:11" ht="26.25" x14ac:dyDescent="0.4">
      <c r="B1" s="527" t="s">
        <v>114</v>
      </c>
      <c r="C1" s="527"/>
      <c r="D1" s="527"/>
      <c r="E1" s="527"/>
      <c r="F1" s="527"/>
      <c r="G1" s="527"/>
      <c r="H1" s="527"/>
      <c r="I1" s="527"/>
      <c r="J1" s="527"/>
      <c r="K1" s="420"/>
    </row>
    <row r="2" spans="2:11" ht="26.25" x14ac:dyDescent="0.4">
      <c r="B2" s="528" t="s">
        <v>213</v>
      </c>
      <c r="C2" s="528"/>
      <c r="D2" s="528"/>
      <c r="E2" s="528"/>
      <c r="F2" s="528"/>
      <c r="G2" s="528"/>
      <c r="H2" s="528"/>
      <c r="I2" s="528"/>
      <c r="J2" s="528"/>
      <c r="K2" s="421"/>
    </row>
    <row r="26" spans="2:10" ht="15.75" thickBot="1" x14ac:dyDescent="0.3"/>
    <row r="27" spans="2:10" ht="19.5" thickBot="1" x14ac:dyDescent="0.35">
      <c r="B27" s="197"/>
      <c r="C27" s="257" t="s">
        <v>30</v>
      </c>
      <c r="D27" s="258">
        <v>2019</v>
      </c>
      <c r="E27" s="258">
        <v>2020</v>
      </c>
      <c r="F27" s="258">
        <v>2021</v>
      </c>
      <c r="G27" s="258">
        <v>2022</v>
      </c>
      <c r="H27" s="258" t="s">
        <v>40</v>
      </c>
      <c r="I27" s="259" t="s">
        <v>50</v>
      </c>
      <c r="J27" s="198"/>
    </row>
    <row r="28" spans="2:10" ht="18.75" x14ac:dyDescent="0.3">
      <c r="B28" s="197"/>
      <c r="C28" s="260" t="s">
        <v>16</v>
      </c>
      <c r="D28" s="261">
        <v>204</v>
      </c>
      <c r="E28" s="261">
        <v>241</v>
      </c>
      <c r="F28" s="261">
        <v>200</v>
      </c>
      <c r="G28" s="261">
        <v>179</v>
      </c>
      <c r="H28" s="261">
        <f t="shared" ref="H28:H37" si="0">G28-F28</f>
        <v>-21</v>
      </c>
      <c r="I28" s="262">
        <f t="shared" ref="I28:I29" si="1">(G28-F28)/F28</f>
        <v>-0.105</v>
      </c>
      <c r="J28" s="199"/>
    </row>
    <row r="29" spans="2:10" ht="18.75" x14ac:dyDescent="0.3">
      <c r="B29" s="197"/>
      <c r="C29" s="263" t="s">
        <v>17</v>
      </c>
      <c r="D29" s="264">
        <v>197</v>
      </c>
      <c r="E29" s="264">
        <v>219</v>
      </c>
      <c r="F29" s="264">
        <v>190</v>
      </c>
      <c r="G29" s="261">
        <v>190</v>
      </c>
      <c r="H29" s="261">
        <f t="shared" si="0"/>
        <v>0</v>
      </c>
      <c r="I29" s="265">
        <f t="shared" si="1"/>
        <v>0</v>
      </c>
      <c r="J29" s="199"/>
    </row>
    <row r="30" spans="2:10" ht="18.75" x14ac:dyDescent="0.3">
      <c r="B30" s="197"/>
      <c r="C30" s="263" t="s">
        <v>18</v>
      </c>
      <c r="D30" s="264">
        <v>258</v>
      </c>
      <c r="E30" s="264">
        <v>227</v>
      </c>
      <c r="F30" s="264">
        <v>274</v>
      </c>
      <c r="G30" s="261">
        <v>189</v>
      </c>
      <c r="H30" s="264">
        <f t="shared" si="0"/>
        <v>-85</v>
      </c>
      <c r="I30" s="265">
        <f t="shared" ref="I30:I39" si="2">(G30-F30)/F30</f>
        <v>-0.31021897810218979</v>
      </c>
      <c r="J30" s="199"/>
    </row>
    <row r="31" spans="2:10" ht="18.75" x14ac:dyDescent="0.3">
      <c r="B31" s="197"/>
      <c r="C31" s="263" t="s">
        <v>19</v>
      </c>
      <c r="D31" s="264">
        <v>239</v>
      </c>
      <c r="E31" s="264">
        <v>86</v>
      </c>
      <c r="F31" s="264">
        <v>260</v>
      </c>
      <c r="G31" s="261">
        <v>154</v>
      </c>
      <c r="H31" s="264">
        <f t="shared" si="0"/>
        <v>-106</v>
      </c>
      <c r="I31" s="262">
        <f t="shared" si="2"/>
        <v>-0.40769230769230769</v>
      </c>
      <c r="J31" s="199"/>
    </row>
    <row r="32" spans="2:10" ht="18.75" x14ac:dyDescent="0.3">
      <c r="B32" s="197"/>
      <c r="C32" s="263" t="s">
        <v>20</v>
      </c>
      <c r="D32" s="264">
        <v>238</v>
      </c>
      <c r="E32" s="264">
        <v>76</v>
      </c>
      <c r="F32" s="264">
        <v>210</v>
      </c>
      <c r="G32" s="261">
        <v>200</v>
      </c>
      <c r="H32" s="261">
        <f t="shared" si="0"/>
        <v>-10</v>
      </c>
      <c r="I32" s="262">
        <f t="shared" si="2"/>
        <v>-4.7619047619047616E-2</v>
      </c>
      <c r="J32" s="199"/>
    </row>
    <row r="33" spans="2:10" ht="18.75" x14ac:dyDescent="0.3">
      <c r="B33" s="197"/>
      <c r="C33" s="263" t="s">
        <v>21</v>
      </c>
      <c r="D33" s="264">
        <v>273</v>
      </c>
      <c r="E33" s="264">
        <v>96</v>
      </c>
      <c r="F33" s="264">
        <v>260</v>
      </c>
      <c r="G33" s="261">
        <v>206</v>
      </c>
      <c r="H33" s="261">
        <f t="shared" si="0"/>
        <v>-54</v>
      </c>
      <c r="I33" s="262">
        <f t="shared" si="2"/>
        <v>-0.2076923076923077</v>
      </c>
      <c r="J33" s="199"/>
    </row>
    <row r="34" spans="2:10" ht="18.75" x14ac:dyDescent="0.3">
      <c r="B34" s="197"/>
      <c r="C34" s="263" t="s">
        <v>22</v>
      </c>
      <c r="D34" s="264">
        <v>290</v>
      </c>
      <c r="E34" s="264">
        <v>142</v>
      </c>
      <c r="F34" s="264">
        <v>278</v>
      </c>
      <c r="G34" s="261">
        <v>194</v>
      </c>
      <c r="H34" s="264">
        <f t="shared" si="0"/>
        <v>-84</v>
      </c>
      <c r="I34" s="265">
        <f t="shared" si="2"/>
        <v>-0.30215827338129497</v>
      </c>
      <c r="J34" s="199"/>
    </row>
    <row r="35" spans="2:10" ht="18.75" x14ac:dyDescent="0.3">
      <c r="B35" s="197"/>
      <c r="C35" s="263" t="s">
        <v>23</v>
      </c>
      <c r="D35" s="264">
        <v>273</v>
      </c>
      <c r="E35" s="264">
        <v>203</v>
      </c>
      <c r="F35" s="264">
        <v>240</v>
      </c>
      <c r="G35" s="261">
        <v>201</v>
      </c>
      <c r="H35" s="264">
        <f t="shared" si="0"/>
        <v>-39</v>
      </c>
      <c r="I35" s="262">
        <f t="shared" si="2"/>
        <v>-0.16250000000000001</v>
      </c>
      <c r="J35" s="199"/>
    </row>
    <row r="36" spans="2:10" ht="18.75" x14ac:dyDescent="0.3">
      <c r="B36" s="197"/>
      <c r="C36" s="263" t="s">
        <v>24</v>
      </c>
      <c r="D36" s="264">
        <v>239</v>
      </c>
      <c r="E36" s="264">
        <v>193</v>
      </c>
      <c r="F36" s="264">
        <v>204</v>
      </c>
      <c r="G36" s="261">
        <v>208</v>
      </c>
      <c r="H36" s="264">
        <f t="shared" si="0"/>
        <v>4</v>
      </c>
      <c r="I36" s="262">
        <f t="shared" si="2"/>
        <v>1.9607843137254902E-2</v>
      </c>
      <c r="J36" s="199"/>
    </row>
    <row r="37" spans="2:10" ht="18.75" x14ac:dyDescent="0.3">
      <c r="B37" s="197"/>
      <c r="C37" s="263" t="s">
        <v>25</v>
      </c>
      <c r="D37" s="264">
        <v>263</v>
      </c>
      <c r="E37" s="264">
        <v>253</v>
      </c>
      <c r="F37" s="264">
        <v>224</v>
      </c>
      <c r="G37" s="261">
        <v>207</v>
      </c>
      <c r="H37" s="264">
        <f t="shared" si="0"/>
        <v>-17</v>
      </c>
      <c r="I37" s="262">
        <f t="shared" si="2"/>
        <v>-7.5892857142857137E-2</v>
      </c>
      <c r="J37" s="199"/>
    </row>
    <row r="38" spans="2:10" ht="18.75" x14ac:dyDescent="0.3">
      <c r="B38" s="197"/>
      <c r="C38" s="263" t="s">
        <v>26</v>
      </c>
      <c r="D38" s="264">
        <v>246</v>
      </c>
      <c r="E38" s="264">
        <v>242</v>
      </c>
      <c r="F38" s="264">
        <v>205</v>
      </c>
      <c r="G38" s="261"/>
      <c r="H38" s="264"/>
      <c r="I38" s="265">
        <f t="shared" si="2"/>
        <v>-1</v>
      </c>
      <c r="J38" s="199"/>
    </row>
    <row r="39" spans="2:10" ht="19.5" thickBot="1" x14ac:dyDescent="0.35">
      <c r="B39" s="197"/>
      <c r="C39" s="376" t="s">
        <v>27</v>
      </c>
      <c r="D39" s="377">
        <v>263</v>
      </c>
      <c r="E39" s="377">
        <v>227</v>
      </c>
      <c r="F39" s="377">
        <v>205</v>
      </c>
      <c r="G39" s="261"/>
      <c r="H39" s="377"/>
      <c r="I39" s="262">
        <f t="shared" si="2"/>
        <v>-1</v>
      </c>
      <c r="J39" s="199"/>
    </row>
    <row r="40" spans="2:10" ht="19.5" thickBot="1" x14ac:dyDescent="0.35">
      <c r="B40" s="17"/>
      <c r="C40" s="378" t="s">
        <v>51</v>
      </c>
      <c r="D40" s="379">
        <f>SUM(D28:D39)</f>
        <v>2983</v>
      </c>
      <c r="E40" s="379">
        <f>SUM(E28:E39)</f>
        <v>2205</v>
      </c>
      <c r="F40" s="379">
        <f>SUM(F28:F39)</f>
        <v>2750</v>
      </c>
      <c r="G40" s="379">
        <f>SUM(G28:G39)</f>
        <v>1928</v>
      </c>
      <c r="H40" s="379">
        <f>SUM(H28:H39)</f>
        <v>-412</v>
      </c>
      <c r="I40" s="380">
        <f>(G40-(F28+F29+F30+F31+F32+F33+F34+F35+F36+F37))/(F28+F29+F30+F31+F32+F33+F34+F35+F36+F37)</f>
        <v>-0.17606837606837608</v>
      </c>
      <c r="J40" s="199"/>
    </row>
  </sheetData>
  <mergeCells count="2">
    <mergeCell ref="B1:J1"/>
    <mergeCell ref="B2:J2"/>
  </mergeCells>
  <pageMargins left="1" right="1" top="1" bottom="1" header="0.5" footer="0.5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2"/>
  <sheetViews>
    <sheetView zoomScaleNormal="100" zoomScaleSheetLayoutView="90" workbookViewId="0">
      <selection activeCell="L19" sqref="L19"/>
    </sheetView>
  </sheetViews>
  <sheetFormatPr defaultRowHeight="15" x14ac:dyDescent="0.25"/>
  <cols>
    <col min="1" max="1" width="5.7109375" customWidth="1"/>
    <col min="3" max="3" width="9.7109375" bestFit="1" customWidth="1"/>
    <col min="4" max="5" width="17.5703125" bestFit="1" customWidth="1"/>
    <col min="6" max="6" width="12.7109375" bestFit="1" customWidth="1"/>
  </cols>
  <sheetData>
    <row r="1" spans="1:9" ht="23.25" x14ac:dyDescent="0.35">
      <c r="A1" s="506" t="s">
        <v>118</v>
      </c>
      <c r="B1" s="506"/>
      <c r="C1" s="506"/>
      <c r="D1" s="506"/>
      <c r="E1" s="506"/>
      <c r="F1" s="506"/>
      <c r="G1" s="506"/>
      <c r="H1" s="506"/>
    </row>
    <row r="2" spans="1:9" ht="23.25" x14ac:dyDescent="0.35">
      <c r="B2" s="507" t="s">
        <v>213</v>
      </c>
      <c r="C2" s="507"/>
      <c r="D2" s="507"/>
      <c r="E2" s="507"/>
      <c r="F2" s="507"/>
      <c r="G2" s="507"/>
      <c r="H2" s="355"/>
    </row>
    <row r="4" spans="1:9" ht="15.75" thickBot="1" x14ac:dyDescent="0.3">
      <c r="B4" s="192"/>
      <c r="C4" s="195"/>
      <c r="D4" s="196"/>
      <c r="E4" s="196"/>
      <c r="F4" s="195"/>
      <c r="G4" s="192"/>
    </row>
    <row r="5" spans="1:9" x14ac:dyDescent="0.25">
      <c r="B5" s="192"/>
      <c r="C5" s="266"/>
      <c r="D5" s="267" t="s">
        <v>214</v>
      </c>
      <c r="E5" s="267" t="s">
        <v>213</v>
      </c>
      <c r="F5" s="529" t="s">
        <v>53</v>
      </c>
      <c r="G5" s="192"/>
    </row>
    <row r="6" spans="1:9" ht="15.75" thickBot="1" x14ac:dyDescent="0.3">
      <c r="B6" s="192"/>
      <c r="C6" s="268" t="s">
        <v>42</v>
      </c>
      <c r="D6" s="269" t="s">
        <v>54</v>
      </c>
      <c r="E6" s="269" t="s">
        <v>54</v>
      </c>
      <c r="F6" s="530"/>
      <c r="G6" s="192"/>
    </row>
    <row r="7" spans="1:9" x14ac:dyDescent="0.25">
      <c r="B7" s="192"/>
      <c r="C7" s="270" t="s">
        <v>44</v>
      </c>
      <c r="D7" s="271">
        <v>14229</v>
      </c>
      <c r="E7" s="271">
        <v>11682</v>
      </c>
      <c r="F7" s="272">
        <f>E7/E11</f>
        <v>0.44755191173090186</v>
      </c>
      <c r="G7" s="194"/>
      <c r="I7" s="65"/>
    </row>
    <row r="8" spans="1:9" x14ac:dyDescent="0.25">
      <c r="B8" s="192"/>
      <c r="C8" s="273" t="s">
        <v>45</v>
      </c>
      <c r="D8" s="480">
        <v>4992</v>
      </c>
      <c r="E8" s="271">
        <v>8395</v>
      </c>
      <c r="F8" s="274">
        <f>E8/E11</f>
        <v>0.32162286414834113</v>
      </c>
      <c r="G8" s="192"/>
      <c r="I8" s="65"/>
    </row>
    <row r="9" spans="1:9" x14ac:dyDescent="0.25">
      <c r="B9" s="192"/>
      <c r="C9" s="273" t="s">
        <v>43</v>
      </c>
      <c r="D9" s="480">
        <v>4678</v>
      </c>
      <c r="E9" s="271">
        <v>5757</v>
      </c>
      <c r="F9" s="274">
        <f>E9/E11</f>
        <v>0.22055781166194161</v>
      </c>
      <c r="G9" s="192"/>
    </row>
    <row r="10" spans="1:9" ht="15.75" thickBot="1" x14ac:dyDescent="0.3">
      <c r="B10" s="192"/>
      <c r="C10" s="316" t="s">
        <v>55</v>
      </c>
      <c r="D10" s="481">
        <v>52</v>
      </c>
      <c r="E10" s="271">
        <v>268</v>
      </c>
      <c r="F10" s="317">
        <f>E10/E11</f>
        <v>1.0267412458815416E-2</v>
      </c>
      <c r="G10" s="192"/>
    </row>
    <row r="11" spans="1:9" ht="15.75" thickBot="1" x14ac:dyDescent="0.3">
      <c r="B11" s="192"/>
      <c r="C11" s="318" t="s">
        <v>56</v>
      </c>
      <c r="D11" s="319">
        <f>SUM(D7:D10)</f>
        <v>23951</v>
      </c>
      <c r="E11" s="319">
        <f>SUM(E7:E10)</f>
        <v>26102</v>
      </c>
      <c r="F11" s="426"/>
      <c r="G11" s="192"/>
    </row>
    <row r="12" spans="1:9" x14ac:dyDescent="0.25">
      <c r="B12" s="192"/>
      <c r="C12" s="192"/>
      <c r="D12" s="192"/>
      <c r="E12" s="192"/>
      <c r="F12" s="193"/>
      <c r="G12" s="192"/>
    </row>
  </sheetData>
  <mergeCells count="3">
    <mergeCell ref="B2:G2"/>
    <mergeCell ref="F5:F6"/>
    <mergeCell ref="A1:H1"/>
  </mergeCells>
  <pageMargins left="0.7" right="0.7" top="0.75" bottom="0.75" header="0.3" footer="0.3"/>
  <pageSetup scale="9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W23"/>
  <sheetViews>
    <sheetView zoomScaleNormal="100" zoomScaleSheetLayoutView="90" workbookViewId="0">
      <selection activeCell="J2" sqref="J2"/>
    </sheetView>
  </sheetViews>
  <sheetFormatPr defaultRowHeight="15" x14ac:dyDescent="0.25"/>
  <cols>
    <col min="2" max="2" width="9.85546875" bestFit="1" customWidth="1"/>
    <col min="3" max="4" width="11.28515625" bestFit="1" customWidth="1"/>
    <col min="5" max="5" width="11.28515625" customWidth="1"/>
    <col min="6" max="6" width="10.140625" customWidth="1"/>
    <col min="7" max="7" width="14.140625" customWidth="1"/>
    <col min="8" max="8" width="11.140625" bestFit="1" customWidth="1"/>
    <col min="9" max="9" width="12.7109375" customWidth="1"/>
    <col min="12" max="12" width="15.42578125" customWidth="1"/>
    <col min="13" max="13" width="16.28515625" customWidth="1"/>
    <col min="14" max="14" width="14.28515625" customWidth="1"/>
    <col min="15" max="15" width="9.5703125" bestFit="1" customWidth="1"/>
    <col min="16" max="16" width="12.7109375" customWidth="1"/>
    <col min="17" max="17" width="10.85546875" bestFit="1" customWidth="1"/>
    <col min="18" max="18" width="9.7109375" bestFit="1" customWidth="1"/>
    <col min="19" max="19" width="10.85546875" bestFit="1" customWidth="1"/>
    <col min="20" max="20" width="14.42578125" customWidth="1"/>
    <col min="21" max="21" width="12.7109375" customWidth="1"/>
    <col min="22" max="22" width="12.7109375" bestFit="1" customWidth="1"/>
    <col min="23" max="23" width="9.7109375" bestFit="1" customWidth="1"/>
  </cols>
  <sheetData>
    <row r="1" spans="2:23" ht="23.25" x14ac:dyDescent="0.35">
      <c r="B1" s="506" t="s">
        <v>119</v>
      </c>
      <c r="C1" s="506"/>
      <c r="D1" s="506"/>
      <c r="E1" s="506"/>
      <c r="F1" s="506"/>
      <c r="G1" s="506"/>
      <c r="H1" s="506"/>
      <c r="I1" s="506"/>
    </row>
    <row r="2" spans="2:23" ht="23.25" x14ac:dyDescent="0.35">
      <c r="B2" s="507" t="s">
        <v>213</v>
      </c>
      <c r="C2" s="507"/>
      <c r="D2" s="507"/>
      <c r="E2" s="507"/>
      <c r="F2" s="507"/>
      <c r="G2" s="507"/>
      <c r="H2" s="507"/>
      <c r="I2" s="507"/>
    </row>
    <row r="3" spans="2:23" ht="15.75" thickBot="1" x14ac:dyDescent="0.3">
      <c r="L3" t="s">
        <v>196</v>
      </c>
      <c r="M3" t="s">
        <v>205</v>
      </c>
    </row>
    <row r="4" spans="2:23" ht="16.5" thickBot="1" x14ac:dyDescent="0.3">
      <c r="B4" s="540" t="s">
        <v>57</v>
      </c>
      <c r="C4" s="541"/>
      <c r="D4" s="541"/>
      <c r="E4" s="541"/>
      <c r="F4" s="541"/>
      <c r="G4" s="541"/>
      <c r="H4" s="541"/>
      <c r="I4" s="542"/>
      <c r="K4" s="447"/>
      <c r="L4" s="534" t="s">
        <v>206</v>
      </c>
      <c r="M4" s="535"/>
      <c r="N4" s="535"/>
      <c r="O4" s="535"/>
      <c r="P4" s="535"/>
      <c r="Q4" s="535"/>
      <c r="R4" s="535"/>
      <c r="S4" s="535"/>
      <c r="T4" s="536"/>
      <c r="W4" s="447"/>
    </row>
    <row r="5" spans="2:23" ht="15.75" customHeight="1" thickBot="1" x14ac:dyDescent="0.3">
      <c r="B5" s="282"/>
      <c r="C5" s="281">
        <v>2020</v>
      </c>
      <c r="D5" s="281">
        <v>2021</v>
      </c>
      <c r="E5" s="550">
        <v>2022</v>
      </c>
      <c r="F5" s="551"/>
      <c r="G5" s="551"/>
      <c r="H5" s="551"/>
      <c r="I5" s="552"/>
      <c r="L5" s="537" t="s">
        <v>190</v>
      </c>
      <c r="M5" s="538"/>
      <c r="N5" s="538"/>
      <c r="O5" s="538"/>
      <c r="P5" s="539"/>
      <c r="Q5" s="543" t="s">
        <v>191</v>
      </c>
      <c r="R5" s="544"/>
      <c r="S5" s="545"/>
      <c r="T5" s="448"/>
      <c r="U5" s="442"/>
    </row>
    <row r="6" spans="2:23" ht="15" customHeight="1" x14ac:dyDescent="0.25">
      <c r="B6" s="553" t="s">
        <v>12</v>
      </c>
      <c r="C6" s="548" t="s">
        <v>58</v>
      </c>
      <c r="D6" s="548" t="s">
        <v>58</v>
      </c>
      <c r="E6" s="555" t="s">
        <v>59</v>
      </c>
      <c r="F6" s="557" t="s">
        <v>60</v>
      </c>
      <c r="G6" s="557" t="s">
        <v>61</v>
      </c>
      <c r="H6" s="531" t="s">
        <v>62</v>
      </c>
      <c r="I6" s="546" t="s">
        <v>58</v>
      </c>
      <c r="L6" s="468" t="s">
        <v>59</v>
      </c>
      <c r="M6" s="469" t="s">
        <v>60</v>
      </c>
      <c r="N6" s="469" t="s">
        <v>61</v>
      </c>
      <c r="O6" s="470" t="s">
        <v>62</v>
      </c>
      <c r="P6" s="471" t="s">
        <v>192</v>
      </c>
      <c r="Q6" s="472" t="s">
        <v>193</v>
      </c>
      <c r="R6" s="470" t="s">
        <v>62</v>
      </c>
      <c r="S6" s="473" t="s">
        <v>194</v>
      </c>
      <c r="T6" s="474" t="s">
        <v>195</v>
      </c>
      <c r="U6" s="442"/>
    </row>
    <row r="7" spans="2:23" ht="15.75" customHeight="1" thickBot="1" x14ac:dyDescent="0.3">
      <c r="B7" s="554"/>
      <c r="C7" s="549"/>
      <c r="D7" s="549"/>
      <c r="E7" s="556"/>
      <c r="F7" s="558"/>
      <c r="G7" s="558"/>
      <c r="H7" s="532"/>
      <c r="I7" s="547"/>
      <c r="K7" s="475">
        <v>2020</v>
      </c>
      <c r="L7" s="476">
        <v>1604</v>
      </c>
      <c r="M7" s="476">
        <v>4829</v>
      </c>
      <c r="N7" s="476">
        <v>7845</v>
      </c>
      <c r="O7" s="475">
        <v>128</v>
      </c>
      <c r="P7" s="476">
        <v>14406</v>
      </c>
      <c r="Q7" s="476">
        <v>16729</v>
      </c>
      <c r="R7" s="476">
        <v>2120</v>
      </c>
      <c r="S7" s="476">
        <v>18849</v>
      </c>
      <c r="T7" s="476">
        <v>33255</v>
      </c>
      <c r="U7" s="442"/>
    </row>
    <row r="8" spans="2:23" ht="16.5" thickBot="1" x14ac:dyDescent="0.3">
      <c r="B8" s="286" t="s">
        <v>16</v>
      </c>
      <c r="C8" s="287">
        <v>2026</v>
      </c>
      <c r="D8" s="289">
        <v>2326</v>
      </c>
      <c r="E8" s="461">
        <v>358</v>
      </c>
      <c r="F8" s="288">
        <v>352</v>
      </c>
      <c r="G8" s="288">
        <v>838</v>
      </c>
      <c r="H8" s="288">
        <v>93</v>
      </c>
      <c r="I8" s="289">
        <f t="shared" ref="I8:I13" si="0">SUM(E8:H8)</f>
        <v>1641</v>
      </c>
      <c r="K8" s="475">
        <v>2021</v>
      </c>
      <c r="L8" s="476">
        <v>1237</v>
      </c>
      <c r="M8" s="476">
        <v>6681</v>
      </c>
      <c r="N8" s="476">
        <v>9085</v>
      </c>
      <c r="O8" s="475">
        <v>86</v>
      </c>
      <c r="P8" s="476">
        <v>17089</v>
      </c>
      <c r="Q8" s="476">
        <v>12199</v>
      </c>
      <c r="R8" s="476">
        <v>1800</v>
      </c>
      <c r="S8" s="476">
        <v>13999</v>
      </c>
      <c r="T8" s="476">
        <v>31088</v>
      </c>
      <c r="U8" s="444"/>
    </row>
    <row r="9" spans="2:23" ht="16.5" thickBot="1" x14ac:dyDescent="0.3">
      <c r="B9" s="283" t="s">
        <v>17</v>
      </c>
      <c r="C9" s="275">
        <v>3155</v>
      </c>
      <c r="D9" s="276">
        <v>1903</v>
      </c>
      <c r="E9" s="461">
        <v>380</v>
      </c>
      <c r="F9" s="288">
        <v>344</v>
      </c>
      <c r="G9" s="288">
        <v>962</v>
      </c>
      <c r="H9" s="288">
        <v>172</v>
      </c>
      <c r="I9" s="289">
        <f t="shared" si="0"/>
        <v>1858</v>
      </c>
      <c r="K9" s="475">
        <v>2022</v>
      </c>
      <c r="L9" s="476">
        <v>1628</v>
      </c>
      <c r="M9" s="476">
        <v>4314</v>
      </c>
      <c r="N9" s="476">
        <v>9541</v>
      </c>
      <c r="O9" s="475">
        <v>63</v>
      </c>
      <c r="P9" s="476">
        <v>15546</v>
      </c>
      <c r="Q9" s="476">
        <v>11887</v>
      </c>
      <c r="R9" s="476">
        <v>1830</v>
      </c>
      <c r="S9" s="476">
        <v>13717</v>
      </c>
      <c r="T9" s="476">
        <v>29263</v>
      </c>
      <c r="U9" s="444"/>
    </row>
    <row r="10" spans="2:23" ht="16.5" thickBot="1" x14ac:dyDescent="0.3">
      <c r="B10" s="283" t="s">
        <v>18</v>
      </c>
      <c r="C10" s="275">
        <v>2518</v>
      </c>
      <c r="D10" s="276">
        <v>3029</v>
      </c>
      <c r="E10" s="461">
        <v>378</v>
      </c>
      <c r="F10" s="288">
        <v>474</v>
      </c>
      <c r="G10" s="288">
        <v>1769</v>
      </c>
      <c r="H10" s="288">
        <v>310</v>
      </c>
      <c r="I10" s="289">
        <f t="shared" si="0"/>
        <v>2931</v>
      </c>
      <c r="K10" s="439"/>
      <c r="L10" s="443"/>
      <c r="M10" s="443"/>
      <c r="N10" s="443"/>
      <c r="O10" s="443"/>
      <c r="P10" s="444"/>
      <c r="Q10" s="17"/>
      <c r="R10" s="439"/>
      <c r="S10" s="443"/>
      <c r="T10" s="443"/>
      <c r="U10" s="443"/>
      <c r="V10" s="443"/>
      <c r="W10" s="444"/>
    </row>
    <row r="11" spans="2:23" ht="15.75" x14ac:dyDescent="0.25">
      <c r="B11" s="283" t="s">
        <v>19</v>
      </c>
      <c r="C11" s="275">
        <v>2376</v>
      </c>
      <c r="D11" s="289">
        <v>3130</v>
      </c>
      <c r="E11" s="461">
        <v>308</v>
      </c>
      <c r="F11" s="288">
        <v>332</v>
      </c>
      <c r="G11" s="288">
        <v>1171</v>
      </c>
      <c r="H11" s="288">
        <v>178</v>
      </c>
      <c r="I11" s="289">
        <f t="shared" si="0"/>
        <v>1989</v>
      </c>
      <c r="K11" s="439"/>
      <c r="V11" s="443"/>
      <c r="W11" s="444"/>
    </row>
    <row r="12" spans="2:23" ht="15.75" x14ac:dyDescent="0.25">
      <c r="B12" s="283" t="s">
        <v>20</v>
      </c>
      <c r="C12" s="275">
        <v>3027</v>
      </c>
      <c r="D12" s="276">
        <v>3351</v>
      </c>
      <c r="E12" s="460">
        <v>400</v>
      </c>
      <c r="F12" s="288">
        <v>524</v>
      </c>
      <c r="G12" s="288">
        <v>2014</v>
      </c>
      <c r="H12" s="288">
        <v>191</v>
      </c>
      <c r="I12" s="289">
        <f t="shared" si="0"/>
        <v>3129</v>
      </c>
      <c r="K12" s="443"/>
      <c r="L12" s="533" t="s">
        <v>190</v>
      </c>
      <c r="M12" s="533"/>
      <c r="N12" s="533"/>
      <c r="O12" s="533"/>
      <c r="P12" s="533"/>
      <c r="Q12" s="533" t="s">
        <v>191</v>
      </c>
      <c r="R12" s="533"/>
      <c r="S12" s="533"/>
      <c r="T12" s="533"/>
      <c r="V12" s="443"/>
      <c r="W12" s="444"/>
    </row>
    <row r="13" spans="2:23" ht="15.75" x14ac:dyDescent="0.25">
      <c r="B13" s="283" t="s">
        <v>21</v>
      </c>
      <c r="C13" s="275">
        <v>2732</v>
      </c>
      <c r="D13" s="276">
        <v>3594</v>
      </c>
      <c r="E13" s="460">
        <v>412</v>
      </c>
      <c r="F13" s="288">
        <v>419</v>
      </c>
      <c r="G13" s="288">
        <v>2373</v>
      </c>
      <c r="H13" s="288">
        <v>228</v>
      </c>
      <c r="I13" s="289">
        <f t="shared" si="0"/>
        <v>3432</v>
      </c>
      <c r="K13" s="466" t="s">
        <v>204</v>
      </c>
      <c r="L13" s="462" t="s">
        <v>59</v>
      </c>
      <c r="M13" s="462" t="s">
        <v>60</v>
      </c>
      <c r="N13" s="462" t="s">
        <v>61</v>
      </c>
      <c r="O13" s="466" t="s">
        <v>62</v>
      </c>
      <c r="P13" s="466" t="s">
        <v>192</v>
      </c>
      <c r="Q13" s="466" t="s">
        <v>193</v>
      </c>
      <c r="R13" s="466" t="s">
        <v>62</v>
      </c>
      <c r="S13" s="466" t="s">
        <v>194</v>
      </c>
      <c r="T13" s="462" t="s">
        <v>195</v>
      </c>
    </row>
    <row r="14" spans="2:23" ht="15.75" x14ac:dyDescent="0.25">
      <c r="B14" s="283" t="s">
        <v>22</v>
      </c>
      <c r="C14" s="275">
        <v>4956</v>
      </c>
      <c r="D14" s="276">
        <v>5194</v>
      </c>
      <c r="E14" s="460">
        <f>194*2</f>
        <v>388</v>
      </c>
      <c r="F14" s="288">
        <v>730</v>
      </c>
      <c r="G14" s="288">
        <v>4128</v>
      </c>
      <c r="H14" s="288">
        <v>146</v>
      </c>
      <c r="I14" s="276">
        <f>SUM(E14:H14)</f>
        <v>5392</v>
      </c>
      <c r="K14" s="467" t="s">
        <v>215</v>
      </c>
      <c r="L14" s="463">
        <v>273</v>
      </c>
      <c r="M14" s="463">
        <v>362</v>
      </c>
      <c r="N14" s="463">
        <v>758</v>
      </c>
      <c r="O14" s="463">
        <v>6</v>
      </c>
      <c r="P14" s="464">
        <v>1399</v>
      </c>
      <c r="Q14" s="465">
        <v>1035</v>
      </c>
      <c r="R14" s="463">
        <v>83</v>
      </c>
      <c r="S14" s="464">
        <v>1118</v>
      </c>
      <c r="T14" s="465">
        <v>2517</v>
      </c>
      <c r="U14" s="65">
        <f t="shared" ref="U14:U15" si="1">+S14+P14</f>
        <v>2517</v>
      </c>
      <c r="W14" s="444"/>
    </row>
    <row r="15" spans="2:23" ht="15.75" x14ac:dyDescent="0.25">
      <c r="B15" s="283" t="s">
        <v>23</v>
      </c>
      <c r="C15" s="275">
        <v>4083</v>
      </c>
      <c r="D15" s="289">
        <v>3022</v>
      </c>
      <c r="E15" s="460">
        <f>201*2</f>
        <v>402</v>
      </c>
      <c r="F15" s="288">
        <v>360</v>
      </c>
      <c r="G15" s="288">
        <v>3181</v>
      </c>
      <c r="H15" s="288">
        <v>193</v>
      </c>
      <c r="I15" s="276">
        <f>SUM(E15:H15)</f>
        <v>4136</v>
      </c>
      <c r="K15" s="467" t="s">
        <v>216</v>
      </c>
      <c r="L15" s="477">
        <v>159</v>
      </c>
      <c r="M15" s="477">
        <v>462</v>
      </c>
      <c r="N15" s="477">
        <v>928</v>
      </c>
      <c r="O15" s="477">
        <v>12</v>
      </c>
      <c r="P15" s="478">
        <v>1561</v>
      </c>
      <c r="Q15" s="479">
        <v>1016</v>
      </c>
      <c r="R15" s="477">
        <v>128</v>
      </c>
      <c r="S15" s="478">
        <v>1144</v>
      </c>
      <c r="T15" s="479">
        <v>2705</v>
      </c>
      <c r="U15" s="65">
        <f t="shared" si="1"/>
        <v>2705</v>
      </c>
      <c r="W15" s="444"/>
    </row>
    <row r="16" spans="2:23" ht="15.75" x14ac:dyDescent="0.25">
      <c r="B16" s="283" t="s">
        <v>24</v>
      </c>
      <c r="C16" s="275">
        <v>3282</v>
      </c>
      <c r="D16" s="276">
        <v>3429</v>
      </c>
      <c r="E16" s="460">
        <f>208*2</f>
        <v>416</v>
      </c>
      <c r="F16" s="288">
        <v>442</v>
      </c>
      <c r="G16" s="288">
        <v>2766</v>
      </c>
      <c r="H16" s="288">
        <v>232</v>
      </c>
      <c r="I16" s="276">
        <f>SUM(E16:H16)</f>
        <v>3856</v>
      </c>
      <c r="K16" s="467" t="s">
        <v>217</v>
      </c>
      <c r="L16" s="477">
        <v>150</v>
      </c>
      <c r="M16" s="477">
        <v>411</v>
      </c>
      <c r="N16" s="479">
        <v>873</v>
      </c>
      <c r="O16" s="477">
        <v>0</v>
      </c>
      <c r="P16" s="478">
        <v>1434</v>
      </c>
      <c r="Q16" s="479">
        <v>1369</v>
      </c>
      <c r="R16" s="477">
        <v>146</v>
      </c>
      <c r="S16" s="478">
        <v>1515</v>
      </c>
      <c r="T16" s="479">
        <v>2949</v>
      </c>
      <c r="U16" s="65">
        <f>+S16+P16</f>
        <v>2949</v>
      </c>
      <c r="W16" s="444"/>
    </row>
    <row r="17" spans="2:23" ht="15.75" x14ac:dyDescent="0.25">
      <c r="B17" s="283" t="s">
        <v>25</v>
      </c>
      <c r="C17" s="275">
        <v>2750</v>
      </c>
      <c r="D17" s="276">
        <v>2696</v>
      </c>
      <c r="E17" s="460">
        <f>207*2</f>
        <v>414</v>
      </c>
      <c r="F17" s="288">
        <v>411</v>
      </c>
      <c r="G17" s="288">
        <f>873+1369</f>
        <v>2242</v>
      </c>
      <c r="H17" s="288">
        <v>146</v>
      </c>
      <c r="I17" s="276">
        <f>SUM(E17:H17)</f>
        <v>3213</v>
      </c>
      <c r="K17" s="439"/>
      <c r="L17" s="443"/>
      <c r="M17" s="443"/>
      <c r="N17" s="443"/>
      <c r="O17" s="443"/>
      <c r="P17" s="444"/>
      <c r="Q17" s="17"/>
      <c r="R17" s="439"/>
      <c r="S17" s="443"/>
      <c r="T17" s="443"/>
      <c r="W17" s="444"/>
    </row>
    <row r="18" spans="2:23" ht="15.75" x14ac:dyDescent="0.25">
      <c r="B18" s="283" t="s">
        <v>26</v>
      </c>
      <c r="C18" s="275">
        <v>2536</v>
      </c>
      <c r="D18" s="276">
        <v>2510</v>
      </c>
      <c r="E18" s="460"/>
      <c r="F18" s="288">
        <f>'[1]Sheet1 (2)'!D18</f>
        <v>0</v>
      </c>
      <c r="G18" s="288">
        <f>'[1]Sheet1 (2)'!E18+'[1]Sheet1 (2)'!I18</f>
        <v>0</v>
      </c>
      <c r="H18" s="288">
        <f>'[1]Sheet1 (2)'!F18+'[1]Sheet1 (2)'!J18</f>
        <v>0</v>
      </c>
      <c r="I18" s="276"/>
      <c r="K18" s="439"/>
      <c r="L18" s="443"/>
      <c r="M18" s="443"/>
      <c r="N18" s="443"/>
      <c r="O18" s="443"/>
      <c r="P18" s="444"/>
      <c r="Q18" s="17"/>
      <c r="R18" s="439"/>
      <c r="S18" s="443"/>
      <c r="T18" s="443"/>
      <c r="W18" s="444"/>
    </row>
    <row r="19" spans="2:23" ht="16.5" thickBot="1" x14ac:dyDescent="0.3">
      <c r="B19" s="284" t="s">
        <v>27</v>
      </c>
      <c r="C19" s="277">
        <v>2708</v>
      </c>
      <c r="D19" s="276">
        <v>1920</v>
      </c>
      <c r="E19" s="460"/>
      <c r="F19" s="288">
        <f>'[1]Sheet1 (2)'!D19</f>
        <v>0</v>
      </c>
      <c r="G19" s="288">
        <f>'[1]Sheet1 (2)'!E19+'[1]Sheet1 (2)'!I19</f>
        <v>0</v>
      </c>
      <c r="H19" s="288">
        <f>'[1]Sheet1 (2)'!F19+'[1]Sheet1 (2)'!J19</f>
        <v>0</v>
      </c>
      <c r="I19" s="276"/>
      <c r="K19" s="439"/>
      <c r="L19" s="446"/>
      <c r="M19" s="446"/>
      <c r="N19" s="446"/>
      <c r="O19" s="446"/>
      <c r="P19" s="446"/>
      <c r="Q19" s="17"/>
      <c r="R19" s="445"/>
      <c r="S19" s="445"/>
      <c r="T19" s="445"/>
      <c r="U19" s="445"/>
      <c r="W19" s="444"/>
    </row>
    <row r="20" spans="2:23" ht="16.5" thickBot="1" x14ac:dyDescent="0.3">
      <c r="B20" s="285" t="s">
        <v>56</v>
      </c>
      <c r="C20" s="278">
        <f>SUM(C8:C19)</f>
        <v>36149</v>
      </c>
      <c r="D20" s="280">
        <f>SUM(D8:D19)</f>
        <v>36104</v>
      </c>
      <c r="E20" s="459">
        <f t="shared" ref="E20:H20" si="2">SUM(E8:E19)</f>
        <v>3856</v>
      </c>
      <c r="F20" s="279">
        <f t="shared" si="2"/>
        <v>4388</v>
      </c>
      <c r="G20" s="279">
        <f t="shared" si="2"/>
        <v>21444</v>
      </c>
      <c r="H20" s="279">
        <f t="shared" si="2"/>
        <v>1889</v>
      </c>
      <c r="I20" s="280">
        <f>SUM(I8:I19)</f>
        <v>31577</v>
      </c>
      <c r="K20" s="445"/>
      <c r="V20" s="445"/>
      <c r="W20" s="445"/>
    </row>
    <row r="21" spans="2:23" ht="15.75" x14ac:dyDescent="0.25">
      <c r="T21" s="439"/>
      <c r="U21" s="443"/>
    </row>
    <row r="22" spans="2:23" ht="15.75" x14ac:dyDescent="0.25">
      <c r="T22" s="439"/>
      <c r="U22" s="443"/>
    </row>
    <row r="23" spans="2:23" ht="39" customHeight="1" x14ac:dyDescent="0.25">
      <c r="T23" s="439"/>
      <c r="U23" s="443"/>
    </row>
  </sheetData>
  <mergeCells count="17">
    <mergeCell ref="B1:I1"/>
    <mergeCell ref="B2:I2"/>
    <mergeCell ref="B4:I4"/>
    <mergeCell ref="Q5:S5"/>
    <mergeCell ref="I6:I7"/>
    <mergeCell ref="C6:C7"/>
    <mergeCell ref="E5:I5"/>
    <mergeCell ref="D6:D7"/>
    <mergeCell ref="B6:B7"/>
    <mergeCell ref="E6:E7"/>
    <mergeCell ref="F6:F7"/>
    <mergeCell ref="G6:G7"/>
    <mergeCell ref="H6:H7"/>
    <mergeCell ref="L12:P12"/>
    <mergeCell ref="Q12:T12"/>
    <mergeCell ref="L4:T4"/>
    <mergeCell ref="L5:P5"/>
  </mergeCells>
  <phoneticPr fontId="56" type="noConversion"/>
  <pageMargins left="1" right="1" top="1" bottom="1" header="0.5" footer="0.5"/>
  <pageSetup scale="72" fitToWidth="0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35"/>
  <sheetViews>
    <sheetView topLeftCell="B1" zoomScaleNormal="100" zoomScaleSheetLayoutView="131" zoomScalePageLayoutView="85" workbookViewId="0">
      <selection activeCell="H43" sqref="H43"/>
    </sheetView>
  </sheetViews>
  <sheetFormatPr defaultRowHeight="15" x14ac:dyDescent="0.25"/>
  <cols>
    <col min="2" max="2" width="8.7109375" customWidth="1"/>
    <col min="3" max="3" width="9.7109375" bestFit="1" customWidth="1"/>
    <col min="4" max="6" width="14.28515625" bestFit="1" customWidth="1"/>
    <col min="7" max="7" width="12.7109375" bestFit="1" customWidth="1"/>
    <col min="8" max="8" width="13.85546875" customWidth="1"/>
  </cols>
  <sheetData>
    <row r="1" spans="2:8" ht="23.25" x14ac:dyDescent="0.35">
      <c r="B1" s="506" t="s">
        <v>120</v>
      </c>
      <c r="C1" s="506"/>
      <c r="D1" s="506"/>
      <c r="E1" s="506"/>
      <c r="F1" s="506"/>
      <c r="G1" s="506"/>
      <c r="H1" s="506"/>
    </row>
    <row r="2" spans="2:8" ht="23.25" x14ac:dyDescent="0.35">
      <c r="C2" s="502" t="s">
        <v>213</v>
      </c>
      <c r="D2" s="502"/>
      <c r="E2" s="502"/>
      <c r="F2" s="502"/>
      <c r="G2" s="502"/>
    </row>
    <row r="19" spans="2:8" ht="15.75" thickBot="1" x14ac:dyDescent="0.3"/>
    <row r="20" spans="2:8" ht="15.75" x14ac:dyDescent="0.25">
      <c r="B20" s="192"/>
      <c r="C20" s="559" t="s">
        <v>63</v>
      </c>
      <c r="D20" s="560"/>
      <c r="E20" s="560"/>
      <c r="F20" s="560"/>
      <c r="G20" s="561"/>
    </row>
    <row r="21" spans="2:8" ht="16.5" thickBot="1" x14ac:dyDescent="0.3">
      <c r="B21" s="192"/>
      <c r="C21" s="290"/>
      <c r="D21" s="219">
        <v>2020</v>
      </c>
      <c r="E21" s="219">
        <v>2021</v>
      </c>
      <c r="F21" s="219">
        <v>2022</v>
      </c>
      <c r="G21" s="291" t="s">
        <v>81</v>
      </c>
      <c r="H21" s="432"/>
    </row>
    <row r="22" spans="2:8" ht="15.75" x14ac:dyDescent="0.25">
      <c r="B22" s="192"/>
      <c r="C22" s="152" t="s">
        <v>16</v>
      </c>
      <c r="D22" s="292">
        <v>344712.85</v>
      </c>
      <c r="E22" s="292">
        <v>159305.38</v>
      </c>
      <c r="F22" s="292">
        <v>278830.72000000003</v>
      </c>
      <c r="G22" s="293">
        <f t="shared" ref="G22:G33" si="0">(F22-E22)/E22</f>
        <v>0.75029066814943746</v>
      </c>
      <c r="H22" s="433"/>
    </row>
    <row r="23" spans="2:8" ht="15.75" x14ac:dyDescent="0.25">
      <c r="B23" s="192"/>
      <c r="C23" s="156" t="s">
        <v>17</v>
      </c>
      <c r="D23" s="294">
        <v>302489.45</v>
      </c>
      <c r="E23" s="294">
        <v>185925.08</v>
      </c>
      <c r="F23" s="292">
        <v>289309.88</v>
      </c>
      <c r="G23" s="293">
        <f t="shared" si="0"/>
        <v>0.55605623512438462</v>
      </c>
    </row>
    <row r="24" spans="2:8" ht="15.75" x14ac:dyDescent="0.25">
      <c r="B24" s="192"/>
      <c r="C24" s="156" t="s">
        <v>18</v>
      </c>
      <c r="D24" s="294">
        <v>225816.84</v>
      </c>
      <c r="E24" s="294">
        <v>269702.45</v>
      </c>
      <c r="F24" s="292">
        <v>335506.42</v>
      </c>
      <c r="G24" s="293">
        <f t="shared" si="0"/>
        <v>0.24398729043803632</v>
      </c>
    </row>
    <row r="25" spans="2:8" ht="15.75" x14ac:dyDescent="0.25">
      <c r="B25" s="192"/>
      <c r="C25" s="156" t="s">
        <v>19</v>
      </c>
      <c r="D25" s="294">
        <v>93868.78</v>
      </c>
      <c r="E25" s="294">
        <v>343546.81</v>
      </c>
      <c r="F25" s="292">
        <v>313776.92</v>
      </c>
      <c r="G25" s="293">
        <f t="shared" si="0"/>
        <v>-8.6654537703319129E-2</v>
      </c>
    </row>
    <row r="26" spans="2:8" ht="15.75" x14ac:dyDescent="0.25">
      <c r="B26" s="192"/>
      <c r="C26" s="156" t="s">
        <v>20</v>
      </c>
      <c r="D26" s="294">
        <v>125806.26</v>
      </c>
      <c r="E26" s="294">
        <v>472302.77821999998</v>
      </c>
      <c r="F26" s="292">
        <v>448138.77</v>
      </c>
      <c r="G26" s="293">
        <f t="shared" si="0"/>
        <v>-5.1162113233948196E-2</v>
      </c>
    </row>
    <row r="27" spans="2:8" ht="15.75" x14ac:dyDescent="0.25">
      <c r="B27" s="192"/>
      <c r="C27" s="156" t="s">
        <v>21</v>
      </c>
      <c r="D27" s="294">
        <v>181193.34999999998</v>
      </c>
      <c r="E27" s="294">
        <v>482231.11</v>
      </c>
      <c r="F27" s="292">
        <v>530976.82000000007</v>
      </c>
      <c r="G27" s="293">
        <f t="shared" si="0"/>
        <v>0.10108371067142491</v>
      </c>
    </row>
    <row r="28" spans="2:8" ht="15.75" x14ac:dyDescent="0.25">
      <c r="B28" s="192"/>
      <c r="C28" s="156" t="s">
        <v>22</v>
      </c>
      <c r="D28" s="294">
        <v>282055.35000000003</v>
      </c>
      <c r="E28" s="294">
        <v>531708.56999999995</v>
      </c>
      <c r="F28" s="292">
        <v>535683.69999999995</v>
      </c>
      <c r="G28" s="293">
        <f t="shared" si="0"/>
        <v>7.4761443096544502E-3</v>
      </c>
    </row>
    <row r="29" spans="2:8" ht="15.75" x14ac:dyDescent="0.25">
      <c r="B29" s="192"/>
      <c r="C29" s="156" t="s">
        <v>23</v>
      </c>
      <c r="D29" s="294">
        <v>319730.69</v>
      </c>
      <c r="E29" s="294">
        <v>519143.10000000003</v>
      </c>
      <c r="F29" s="292">
        <v>577671.92000000004</v>
      </c>
      <c r="G29" s="293">
        <f t="shared" si="0"/>
        <v>0.11274120757841143</v>
      </c>
    </row>
    <row r="30" spans="2:8" ht="15.75" x14ac:dyDescent="0.25">
      <c r="B30" s="192"/>
      <c r="C30" s="156" t="s">
        <v>24</v>
      </c>
      <c r="D30" s="294">
        <v>293695.03000000003</v>
      </c>
      <c r="E30" s="294">
        <v>384198.88</v>
      </c>
      <c r="F30" s="292">
        <v>587848.48</v>
      </c>
      <c r="G30" s="293">
        <f t="shared" si="0"/>
        <v>0.53006297155264992</v>
      </c>
    </row>
    <row r="31" spans="2:8" ht="15.75" x14ac:dyDescent="0.25">
      <c r="B31" s="192"/>
      <c r="C31" s="156" t="s">
        <v>25</v>
      </c>
      <c r="D31" s="294">
        <v>366205.07</v>
      </c>
      <c r="E31" s="294">
        <v>495606.44999999995</v>
      </c>
      <c r="F31" s="292">
        <v>593016.04</v>
      </c>
      <c r="G31" s="293">
        <f t="shared" si="0"/>
        <v>0.19654625156714586</v>
      </c>
    </row>
    <row r="32" spans="2:8" ht="15.75" x14ac:dyDescent="0.25">
      <c r="B32" s="192"/>
      <c r="C32" s="156" t="s">
        <v>26</v>
      </c>
      <c r="D32" s="294">
        <v>239388.90999999997</v>
      </c>
      <c r="E32" s="294">
        <v>388059.78</v>
      </c>
      <c r="F32" s="292">
        <v>0</v>
      </c>
      <c r="G32" s="293">
        <f t="shared" si="0"/>
        <v>-1</v>
      </c>
    </row>
    <row r="33" spans="2:7" ht="16.5" thickBot="1" x14ac:dyDescent="0.3">
      <c r="B33" s="192"/>
      <c r="C33" s="167" t="s">
        <v>27</v>
      </c>
      <c r="D33" s="295">
        <v>179464.01</v>
      </c>
      <c r="E33" s="295">
        <v>322661.02</v>
      </c>
      <c r="F33" s="292">
        <v>0</v>
      </c>
      <c r="G33" s="293">
        <f t="shared" si="0"/>
        <v>-1</v>
      </c>
    </row>
    <row r="34" spans="2:7" ht="16.5" thickBot="1" x14ac:dyDescent="0.3">
      <c r="B34" s="192"/>
      <c r="C34" s="166" t="s">
        <v>64</v>
      </c>
      <c r="D34" s="296">
        <f>SUM(D22:D33)</f>
        <v>2954426.59</v>
      </c>
      <c r="E34" s="297">
        <f>SUM(E22:E33)</f>
        <v>4554391.4082200006</v>
      </c>
      <c r="F34" s="297">
        <f>SUM(F22:F33)</f>
        <v>4490759.67</v>
      </c>
      <c r="G34" s="298">
        <f>(F34-(E22+E23+E24+E25+E26+E27+E28+E29+E30+E31))/(E22+E23+E24+E25+E26+E27+E28+E29+E30+E31)</f>
        <v>0.1683518510655278</v>
      </c>
    </row>
    <row r="35" spans="2:7" x14ac:dyDescent="0.25">
      <c r="B35" s="192"/>
      <c r="C35" s="192"/>
      <c r="D35" s="192"/>
      <c r="E35" s="192"/>
      <c r="F35" s="192"/>
      <c r="G35" s="192"/>
    </row>
  </sheetData>
  <mergeCells count="3">
    <mergeCell ref="B1:H1"/>
    <mergeCell ref="C2:G2"/>
    <mergeCell ref="C20:G20"/>
  </mergeCells>
  <pageMargins left="1" right="1" top="1" bottom="1" header="0.5" footer="0.5"/>
  <pageSetup scale="9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T39"/>
  <sheetViews>
    <sheetView zoomScaleNormal="100" zoomScaleSheetLayoutView="85" workbookViewId="0">
      <selection activeCell="K2" sqref="K2"/>
    </sheetView>
  </sheetViews>
  <sheetFormatPr defaultRowHeight="15" x14ac:dyDescent="0.25"/>
  <cols>
    <col min="2" max="2" width="9.7109375" bestFit="1" customWidth="1"/>
    <col min="3" max="5" width="14.28515625" bestFit="1" customWidth="1"/>
    <col min="6" max="6" width="9.85546875" bestFit="1" customWidth="1"/>
    <col min="7" max="7" width="18.140625" bestFit="1" customWidth="1"/>
    <col min="8" max="8" width="14.7109375" bestFit="1" customWidth="1"/>
    <col min="9" max="9" width="14.28515625" bestFit="1" customWidth="1"/>
    <col min="10" max="10" width="19.28515625" customWidth="1"/>
    <col min="12" max="12" width="9.7109375" bestFit="1" customWidth="1"/>
    <col min="13" max="13" width="14.28515625" bestFit="1" customWidth="1"/>
    <col min="14" max="15" width="12.28515625" bestFit="1" customWidth="1"/>
    <col min="16" max="16" width="9.85546875" bestFit="1" customWidth="1"/>
    <col min="17" max="17" width="18.140625" bestFit="1" customWidth="1"/>
    <col min="18" max="18" width="14.7109375" bestFit="1" customWidth="1"/>
    <col min="19" max="19" width="12.28515625" bestFit="1" customWidth="1"/>
    <col min="20" max="20" width="20.140625" customWidth="1"/>
  </cols>
  <sheetData>
    <row r="1" spans="2:11" ht="23.25" x14ac:dyDescent="0.35">
      <c r="B1" s="506" t="s">
        <v>121</v>
      </c>
      <c r="C1" s="506"/>
      <c r="D1" s="506"/>
      <c r="E1" s="506"/>
      <c r="F1" s="506"/>
      <c r="G1" s="506"/>
      <c r="H1" s="506"/>
      <c r="I1" s="506"/>
      <c r="J1" s="506"/>
      <c r="K1" s="51"/>
    </row>
    <row r="2" spans="2:11" ht="23.25" x14ac:dyDescent="0.35">
      <c r="B2" s="502" t="s">
        <v>213</v>
      </c>
      <c r="C2" s="502"/>
      <c r="D2" s="502"/>
      <c r="E2" s="502"/>
      <c r="F2" s="502"/>
      <c r="G2" s="502"/>
      <c r="H2" s="502"/>
      <c r="I2" s="502"/>
      <c r="J2" s="502"/>
    </row>
    <row r="18" spans="2:20" ht="15.75" thickBot="1" x14ac:dyDescent="0.3"/>
    <row r="19" spans="2:20" ht="15.75" x14ac:dyDescent="0.25">
      <c r="B19" s="324"/>
      <c r="C19" s="564" t="s">
        <v>65</v>
      </c>
      <c r="D19" s="564"/>
      <c r="E19" s="564"/>
      <c r="F19" s="412" t="s">
        <v>179</v>
      </c>
      <c r="G19" s="412">
        <v>2022</v>
      </c>
      <c r="H19" s="434" t="s">
        <v>186</v>
      </c>
      <c r="I19" s="434">
        <v>2022</v>
      </c>
      <c r="J19" s="565" t="s">
        <v>202</v>
      </c>
      <c r="L19" s="438"/>
      <c r="M19" s="567"/>
      <c r="N19" s="567"/>
      <c r="O19" s="567"/>
      <c r="P19" s="170"/>
      <c r="Q19" s="170"/>
      <c r="R19" s="170"/>
      <c r="S19" s="170"/>
      <c r="T19" s="562"/>
    </row>
    <row r="20" spans="2:20" ht="16.5" thickBot="1" x14ac:dyDescent="0.3">
      <c r="B20" s="290"/>
      <c r="C20" s="219">
        <v>2020</v>
      </c>
      <c r="D20" s="219">
        <v>2021</v>
      </c>
      <c r="E20" s="219">
        <v>2022</v>
      </c>
      <c r="F20" s="414" t="s">
        <v>49</v>
      </c>
      <c r="G20" s="414" t="s">
        <v>66</v>
      </c>
      <c r="H20" s="435" t="s">
        <v>187</v>
      </c>
      <c r="I20" s="435" t="s">
        <v>188</v>
      </c>
      <c r="J20" s="566"/>
      <c r="L20" s="438"/>
      <c r="M20" s="170"/>
      <c r="N20" s="170"/>
      <c r="O20" s="170"/>
      <c r="P20" s="170"/>
      <c r="Q20" s="170"/>
      <c r="R20" s="170"/>
      <c r="S20" s="170"/>
      <c r="T20" s="562"/>
    </row>
    <row r="21" spans="2:20" ht="15.75" x14ac:dyDescent="0.25">
      <c r="B21" s="152" t="s">
        <v>16</v>
      </c>
      <c r="C21" s="292">
        <v>149812</v>
      </c>
      <c r="D21" s="292">
        <v>70384</v>
      </c>
      <c r="E21" s="457">
        <v>120620</v>
      </c>
      <c r="F21" s="428">
        <f t="shared" ref="F21:F30" si="0">(E21-D21)/D21</f>
        <v>0.71374175949079333</v>
      </c>
      <c r="G21" s="457">
        <v>62500</v>
      </c>
      <c r="H21" s="458">
        <v>37746</v>
      </c>
      <c r="I21" s="436">
        <v>100246</v>
      </c>
      <c r="J21" s="429">
        <f t="shared" ref="J21:J27" si="1">G21/E21</f>
        <v>0.51815619300281879</v>
      </c>
      <c r="L21" s="439"/>
      <c r="M21" s="440"/>
      <c r="N21" s="440"/>
      <c r="O21" s="440"/>
      <c r="P21" s="441"/>
      <c r="Q21" s="440"/>
      <c r="R21" s="440"/>
      <c r="S21" s="440"/>
      <c r="T21" s="441"/>
    </row>
    <row r="22" spans="2:20" ht="15.75" x14ac:dyDescent="0.25">
      <c r="B22" s="156" t="s">
        <v>17</v>
      </c>
      <c r="C22" s="294">
        <v>155993</v>
      </c>
      <c r="D22" s="294">
        <v>62204</v>
      </c>
      <c r="E22" s="427">
        <v>135105.5</v>
      </c>
      <c r="F22" s="428">
        <f t="shared" si="0"/>
        <v>1.1719744710951063</v>
      </c>
      <c r="G22" s="427">
        <v>62500</v>
      </c>
      <c r="H22" s="458">
        <v>52263.17</v>
      </c>
      <c r="I22" s="436">
        <v>114763.17</v>
      </c>
      <c r="J22" s="429">
        <f t="shared" si="1"/>
        <v>0.46260144849765555</v>
      </c>
      <c r="L22" s="439"/>
      <c r="M22" s="440"/>
      <c r="N22" s="440"/>
      <c r="O22" s="440"/>
      <c r="P22" s="441"/>
      <c r="Q22" s="440"/>
      <c r="R22" s="440"/>
      <c r="S22" s="440"/>
      <c r="T22" s="441"/>
    </row>
    <row r="23" spans="2:20" ht="15.75" x14ac:dyDescent="0.25">
      <c r="B23" s="156" t="s">
        <v>18</v>
      </c>
      <c r="C23" s="294">
        <v>131050</v>
      </c>
      <c r="D23" s="294">
        <v>99069.02</v>
      </c>
      <c r="E23" s="427">
        <v>164245.54</v>
      </c>
      <c r="F23" s="428">
        <f t="shared" si="0"/>
        <v>0.65789002455056078</v>
      </c>
      <c r="G23" s="427">
        <v>62500</v>
      </c>
      <c r="H23" s="458">
        <v>77108.709999999992</v>
      </c>
      <c r="I23" s="436">
        <v>139608.71</v>
      </c>
      <c r="J23" s="429">
        <f t="shared" si="1"/>
        <v>0.38052783655495304</v>
      </c>
      <c r="L23" s="439"/>
      <c r="M23" s="440"/>
      <c r="N23" s="440"/>
      <c r="O23" s="440"/>
      <c r="P23" s="441"/>
      <c r="Q23" s="440"/>
      <c r="R23" s="440"/>
      <c r="S23" s="440"/>
      <c r="T23" s="441"/>
    </row>
    <row r="24" spans="2:20" ht="15.75" x14ac:dyDescent="0.25">
      <c r="B24" s="156" t="s">
        <v>19</v>
      </c>
      <c r="C24" s="294">
        <v>15788</v>
      </c>
      <c r="D24" s="294">
        <v>90869</v>
      </c>
      <c r="E24" s="427">
        <v>145768</v>
      </c>
      <c r="F24" s="428">
        <f t="shared" si="0"/>
        <v>0.60415543254575266</v>
      </c>
      <c r="G24" s="427">
        <v>62500</v>
      </c>
      <c r="H24" s="458">
        <v>83268</v>
      </c>
      <c r="I24" s="436">
        <v>145768</v>
      </c>
      <c r="J24" s="429">
        <f t="shared" si="1"/>
        <v>0.428763514625981</v>
      </c>
      <c r="L24" s="439"/>
      <c r="M24" s="440"/>
      <c r="N24" s="440"/>
      <c r="O24" s="440"/>
      <c r="P24" s="441"/>
      <c r="Q24" s="440"/>
      <c r="R24" s="440"/>
      <c r="S24" s="440"/>
      <c r="T24" s="441"/>
    </row>
    <row r="25" spans="2:20" ht="15.75" x14ac:dyDescent="0.25">
      <c r="B25" s="156" t="s">
        <v>20</v>
      </c>
      <c r="C25" s="294">
        <v>18228</v>
      </c>
      <c r="D25" s="294">
        <v>102991.01</v>
      </c>
      <c r="E25" s="427">
        <v>138654.85999999999</v>
      </c>
      <c r="F25" s="428">
        <f t="shared" si="0"/>
        <v>0.34628119483438402</v>
      </c>
      <c r="G25" s="427">
        <v>62500</v>
      </c>
      <c r="H25" s="458">
        <v>76154.859999999986</v>
      </c>
      <c r="I25" s="436">
        <v>138654.85999999999</v>
      </c>
      <c r="J25" s="429">
        <f t="shared" si="1"/>
        <v>0.45075953341988884</v>
      </c>
      <c r="L25" s="439"/>
      <c r="M25" s="440"/>
      <c r="N25" s="440"/>
      <c r="O25" s="440"/>
      <c r="P25" s="441"/>
      <c r="Q25" s="440"/>
      <c r="R25" s="440"/>
      <c r="S25" s="440"/>
      <c r="T25" s="441"/>
    </row>
    <row r="26" spans="2:20" ht="15.75" x14ac:dyDescent="0.25">
      <c r="B26" s="156" t="s">
        <v>21</v>
      </c>
      <c r="C26" s="294">
        <v>33163</v>
      </c>
      <c r="D26" s="294">
        <v>113806</v>
      </c>
      <c r="E26" s="427">
        <v>116490.4</v>
      </c>
      <c r="F26" s="428">
        <f t="shared" si="0"/>
        <v>2.3587508567210817E-2</v>
      </c>
      <c r="G26" s="427">
        <v>62500</v>
      </c>
      <c r="H26" s="458">
        <v>53990.399999999994</v>
      </c>
      <c r="I26" s="436">
        <v>104841.36</v>
      </c>
      <c r="J26" s="429">
        <f t="shared" si="1"/>
        <v>0.53652489818903537</v>
      </c>
      <c r="L26" s="439"/>
      <c r="M26" s="440"/>
      <c r="N26" s="440"/>
      <c r="O26" s="440"/>
      <c r="P26" s="441"/>
      <c r="Q26" s="440"/>
      <c r="R26" s="440"/>
      <c r="S26" s="440"/>
      <c r="T26" s="441"/>
    </row>
    <row r="27" spans="2:20" ht="15.75" x14ac:dyDescent="0.25">
      <c r="B27" s="156" t="s">
        <v>22</v>
      </c>
      <c r="C27" s="294">
        <v>41248.11</v>
      </c>
      <c r="D27" s="294">
        <v>113257</v>
      </c>
      <c r="E27" s="427">
        <v>118249.73</v>
      </c>
      <c r="F27" s="428">
        <f t="shared" si="0"/>
        <v>4.4083191325922422E-2</v>
      </c>
      <c r="G27" s="427">
        <v>62500</v>
      </c>
      <c r="H27" s="458">
        <v>55750</v>
      </c>
      <c r="I27" s="436">
        <v>106424.76</v>
      </c>
      <c r="J27" s="429">
        <f t="shared" si="1"/>
        <v>0.52854243303557646</v>
      </c>
      <c r="L27" s="439"/>
      <c r="M27" s="440"/>
      <c r="N27" s="440"/>
      <c r="O27" s="440"/>
      <c r="P27" s="441"/>
      <c r="Q27" s="440"/>
      <c r="R27" s="440"/>
      <c r="S27" s="440"/>
      <c r="T27" s="441"/>
    </row>
    <row r="28" spans="2:20" ht="15.75" x14ac:dyDescent="0.25">
      <c r="B28" s="156" t="s">
        <v>23</v>
      </c>
      <c r="C28" s="294">
        <v>68037.45</v>
      </c>
      <c r="D28" s="427">
        <v>100897.54</v>
      </c>
      <c r="E28" s="427">
        <v>121480.04</v>
      </c>
      <c r="F28" s="428">
        <f t="shared" si="0"/>
        <v>0.20399407160967453</v>
      </c>
      <c r="G28" s="427">
        <v>85837.67</v>
      </c>
      <c r="H28" s="436" t="s">
        <v>211</v>
      </c>
      <c r="I28" s="436">
        <v>85837.67</v>
      </c>
      <c r="J28" s="429">
        <f t="shared" ref="J28:J30" si="2">SUM(G28:H28)/E28</f>
        <v>0.70659896061937422</v>
      </c>
      <c r="L28" s="439"/>
      <c r="M28" s="440"/>
      <c r="N28" s="440"/>
      <c r="O28" s="440"/>
      <c r="P28" s="441"/>
      <c r="Q28" s="440"/>
      <c r="R28" s="440"/>
      <c r="S28" s="440"/>
      <c r="T28" s="441"/>
    </row>
    <row r="29" spans="2:20" ht="15.75" x14ac:dyDescent="0.25">
      <c r="B29" s="156" t="s">
        <v>24</v>
      </c>
      <c r="C29" s="294">
        <v>73060</v>
      </c>
      <c r="D29" s="427">
        <v>97541.2</v>
      </c>
      <c r="E29" s="427">
        <v>131992.18</v>
      </c>
      <c r="F29" s="428">
        <f t="shared" si="0"/>
        <v>0.35319413745166139</v>
      </c>
      <c r="G29" s="427">
        <v>85837.66</v>
      </c>
      <c r="H29" s="436" t="s">
        <v>211</v>
      </c>
      <c r="I29" s="436">
        <v>85838</v>
      </c>
      <c r="J29" s="429">
        <f t="shared" si="2"/>
        <v>0.6503238297905225</v>
      </c>
      <c r="L29" s="439"/>
      <c r="M29" s="440"/>
      <c r="N29" s="440"/>
      <c r="O29" s="440"/>
      <c r="P29" s="441"/>
      <c r="Q29" s="440"/>
      <c r="R29" s="440"/>
      <c r="S29" s="440"/>
      <c r="T29" s="441"/>
    </row>
    <row r="30" spans="2:20" ht="15.75" x14ac:dyDescent="0.25">
      <c r="B30" s="156" t="s">
        <v>25</v>
      </c>
      <c r="C30" s="294">
        <v>67886</v>
      </c>
      <c r="D30" s="427">
        <v>113833</v>
      </c>
      <c r="E30" s="427">
        <v>144697.53</v>
      </c>
      <c r="F30" s="428">
        <f t="shared" si="0"/>
        <v>0.27113868561840587</v>
      </c>
      <c r="G30" s="427">
        <v>85838</v>
      </c>
      <c r="H30" s="437">
        <f>E30-G30</f>
        <v>58859.53</v>
      </c>
      <c r="I30" s="436">
        <v>101288.27</v>
      </c>
      <c r="J30" s="429">
        <f t="shared" si="2"/>
        <v>1</v>
      </c>
      <c r="L30" s="439"/>
      <c r="M30" s="440"/>
      <c r="N30" s="440"/>
      <c r="O30" s="440"/>
      <c r="P30" s="441"/>
      <c r="Q30" s="440"/>
      <c r="R30" s="440"/>
      <c r="S30" s="440"/>
      <c r="T30" s="441"/>
    </row>
    <row r="31" spans="2:20" ht="15.75" x14ac:dyDescent="0.25">
      <c r="B31" s="156" t="s">
        <v>26</v>
      </c>
      <c r="C31" s="294">
        <v>76086</v>
      </c>
      <c r="D31" s="427">
        <v>123567</v>
      </c>
      <c r="E31" s="427"/>
      <c r="F31" s="428">
        <f>(E31-D31)/D31</f>
        <v>-1</v>
      </c>
      <c r="G31" s="427"/>
      <c r="H31" s="437"/>
      <c r="I31" s="436">
        <v>0</v>
      </c>
      <c r="J31" s="429" t="e">
        <f>SUM(G31:H31)/E31</f>
        <v>#DIV/0!</v>
      </c>
      <c r="L31" s="439"/>
      <c r="M31" s="440"/>
      <c r="N31" s="440"/>
      <c r="O31" s="440"/>
      <c r="P31" s="441"/>
      <c r="Q31" s="440"/>
      <c r="R31" s="440"/>
      <c r="S31" s="440"/>
      <c r="T31" s="441"/>
    </row>
    <row r="32" spans="2:20" ht="16.5" thickBot="1" x14ac:dyDescent="0.3">
      <c r="B32" s="167" t="s">
        <v>27</v>
      </c>
      <c r="C32" s="295">
        <v>69603</v>
      </c>
      <c r="D32" s="430">
        <v>127005</v>
      </c>
      <c r="E32" s="430"/>
      <c r="F32" s="431">
        <f>(E32-D32)/D32</f>
        <v>-1</v>
      </c>
      <c r="G32" s="430"/>
      <c r="H32" s="449"/>
      <c r="I32" s="436">
        <v>0</v>
      </c>
      <c r="J32" s="429" t="e">
        <f>SUM(G32:H32)/E32</f>
        <v>#DIV/0!</v>
      </c>
      <c r="L32" s="439"/>
      <c r="M32" s="440"/>
      <c r="N32" s="440"/>
      <c r="O32" s="440"/>
      <c r="P32" s="441"/>
      <c r="Q32" s="440"/>
      <c r="R32" s="440"/>
      <c r="S32" s="440"/>
      <c r="T32" s="441"/>
    </row>
    <row r="33" spans="2:20" ht="16.5" thickBot="1" x14ac:dyDescent="0.3">
      <c r="B33" s="166" t="s">
        <v>64</v>
      </c>
      <c r="C33" s="325">
        <f>SUM(C21:C32)</f>
        <v>899954.55999999994</v>
      </c>
      <c r="D33" s="297">
        <f>SUM(D21:D32)</f>
        <v>1215423.77</v>
      </c>
      <c r="E33" s="297">
        <f>SUM(E21:E32)</f>
        <v>1337303.78</v>
      </c>
      <c r="F33" s="323">
        <f>(E33-(D21+D22+D23+D24+D25+D26+D27+D28+D29+D30+D31))/(D21+D22+D23+D24+D25+D26+D27+D28+D29+D30+D31)</f>
        <v>0.22866659126064134</v>
      </c>
      <c r="G33" s="297">
        <f>SUM(G21:G32)</f>
        <v>695013.33</v>
      </c>
      <c r="H33" s="297">
        <f>SUM(H21:H32)</f>
        <v>495140.67000000004</v>
      </c>
      <c r="I33" s="297">
        <f>SUM(I21:I32)</f>
        <v>1123270.8</v>
      </c>
      <c r="J33" s="326">
        <f>SUM(G33:H33)/E33</f>
        <v>0.88996533009126766</v>
      </c>
      <c r="L33" s="439"/>
      <c r="M33" s="440"/>
      <c r="N33" s="440"/>
      <c r="O33" s="440"/>
      <c r="P33" s="441"/>
      <c r="Q33" s="440"/>
      <c r="R33" s="440"/>
      <c r="S33" s="440"/>
      <c r="T33" s="441"/>
    </row>
    <row r="34" spans="2:20" ht="15.75" x14ac:dyDescent="0.25">
      <c r="B34" s="320"/>
      <c r="C34" s="320"/>
      <c r="D34" s="320"/>
      <c r="E34" s="321"/>
      <c r="F34" s="320"/>
      <c r="G34" s="322"/>
      <c r="H34" s="322"/>
      <c r="I34" s="322"/>
      <c r="J34" s="320"/>
    </row>
    <row r="35" spans="2:20" x14ac:dyDescent="0.25">
      <c r="D35" s="563" t="s">
        <v>185</v>
      </c>
      <c r="E35" s="563"/>
      <c r="F35" s="563"/>
      <c r="G35" s="563"/>
    </row>
    <row r="37" spans="2:20" x14ac:dyDescent="0.25">
      <c r="G37" s="432"/>
    </row>
    <row r="38" spans="2:20" x14ac:dyDescent="0.25">
      <c r="G38" s="105"/>
      <c r="H38" s="61"/>
      <c r="I38" s="102"/>
    </row>
    <row r="39" spans="2:20" x14ac:dyDescent="0.25">
      <c r="G39" s="102"/>
    </row>
  </sheetData>
  <mergeCells count="7">
    <mergeCell ref="T19:T20"/>
    <mergeCell ref="B1:J1"/>
    <mergeCell ref="D35:G35"/>
    <mergeCell ref="C19:E19"/>
    <mergeCell ref="J19:J20"/>
    <mergeCell ref="B2:J2"/>
    <mergeCell ref="M19:O19"/>
  </mergeCells>
  <pageMargins left="0.7" right="0.7" top="0.75" bottom="0.75" header="0.3" footer="0.3"/>
  <pageSetup scale="9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H44"/>
  <sheetViews>
    <sheetView zoomScaleNormal="100" zoomScaleSheetLayoutView="100" workbookViewId="0">
      <selection activeCell="F38" sqref="F38"/>
    </sheetView>
  </sheetViews>
  <sheetFormatPr defaultRowHeight="15" x14ac:dyDescent="0.25"/>
  <cols>
    <col min="1" max="1" width="13" customWidth="1"/>
    <col min="2" max="2" width="10.85546875" bestFit="1" customWidth="1"/>
    <col min="3" max="3" width="10.85546875" customWidth="1"/>
    <col min="4" max="4" width="13.5703125" bestFit="1" customWidth="1"/>
    <col min="5" max="5" width="11.7109375" bestFit="1" customWidth="1"/>
    <col min="6" max="6" width="12.140625" bestFit="1" customWidth="1"/>
    <col min="7" max="7" width="16" customWidth="1"/>
  </cols>
  <sheetData>
    <row r="1" spans="2:8" ht="28.5" x14ac:dyDescent="0.45">
      <c r="B1" s="571" t="s">
        <v>125</v>
      </c>
      <c r="C1" s="571"/>
      <c r="D1" s="571"/>
      <c r="E1" s="571"/>
      <c r="F1" s="571"/>
      <c r="G1" s="410"/>
      <c r="H1" s="10"/>
    </row>
    <row r="2" spans="2:8" ht="26.25" x14ac:dyDescent="0.4">
      <c r="B2" s="572" t="s">
        <v>213</v>
      </c>
      <c r="C2" s="572"/>
      <c r="D2" s="572"/>
      <c r="E2" s="572"/>
      <c r="F2" s="572"/>
      <c r="G2" s="411"/>
      <c r="H2" s="10"/>
    </row>
    <row r="3" spans="2:8" ht="15.75" thickBot="1" x14ac:dyDescent="0.3">
      <c r="H3" s="10"/>
    </row>
    <row r="4" spans="2:8" ht="19.5" thickBot="1" x14ac:dyDescent="0.35">
      <c r="B4" s="568" t="s">
        <v>124</v>
      </c>
      <c r="C4" s="569"/>
      <c r="D4" s="569"/>
      <c r="E4" s="569"/>
      <c r="F4" s="570"/>
      <c r="G4" s="406"/>
      <c r="H4" s="10"/>
    </row>
    <row r="5" spans="2:8" ht="38.25" thickBot="1" x14ac:dyDescent="0.35">
      <c r="B5" s="135"/>
      <c r="C5" s="137" t="s">
        <v>178</v>
      </c>
      <c r="D5" s="401" t="s">
        <v>176</v>
      </c>
      <c r="E5" s="136" t="s">
        <v>67</v>
      </c>
      <c r="F5" s="407" t="s">
        <v>68</v>
      </c>
      <c r="H5" s="10"/>
    </row>
    <row r="6" spans="2:8" ht="18.75" x14ac:dyDescent="0.3">
      <c r="B6" s="132" t="s">
        <v>16</v>
      </c>
      <c r="C6" s="19">
        <v>2</v>
      </c>
      <c r="D6" s="398" t="s">
        <v>177</v>
      </c>
      <c r="E6" s="12">
        <v>25</v>
      </c>
      <c r="F6" s="19">
        <v>24</v>
      </c>
      <c r="H6" s="10"/>
    </row>
    <row r="7" spans="2:8" ht="18.75" x14ac:dyDescent="0.3">
      <c r="B7" s="133" t="s">
        <v>17</v>
      </c>
      <c r="C7" s="20">
        <v>2</v>
      </c>
      <c r="D7" s="399" t="s">
        <v>189</v>
      </c>
      <c r="E7" s="13">
        <v>100</v>
      </c>
      <c r="F7" s="20">
        <v>99</v>
      </c>
      <c r="H7" s="10"/>
    </row>
    <row r="8" spans="2:8" ht="18.75" x14ac:dyDescent="0.3">
      <c r="B8" s="133" t="s">
        <v>18</v>
      </c>
      <c r="C8" s="20">
        <v>0</v>
      </c>
      <c r="D8" s="399"/>
      <c r="E8" s="13">
        <v>0</v>
      </c>
      <c r="F8" s="20">
        <v>0</v>
      </c>
      <c r="H8" s="10"/>
    </row>
    <row r="9" spans="2:8" ht="18.75" x14ac:dyDescent="0.3">
      <c r="B9" s="133" t="s">
        <v>19</v>
      </c>
      <c r="C9" s="20">
        <v>0</v>
      </c>
      <c r="D9" s="399"/>
      <c r="E9" s="13">
        <v>0</v>
      </c>
      <c r="F9" s="20">
        <v>0</v>
      </c>
      <c r="H9" s="10"/>
    </row>
    <row r="10" spans="2:8" ht="18.75" x14ac:dyDescent="0.3">
      <c r="B10" s="133" t="s">
        <v>20</v>
      </c>
      <c r="C10" s="20">
        <v>0</v>
      </c>
      <c r="D10" s="399"/>
      <c r="E10" s="14">
        <v>0</v>
      </c>
      <c r="F10" s="408">
        <v>0</v>
      </c>
      <c r="H10" s="10"/>
    </row>
    <row r="11" spans="2:8" ht="18.75" x14ac:dyDescent="0.3">
      <c r="B11" s="133" t="s">
        <v>21</v>
      </c>
      <c r="C11" s="20">
        <v>0</v>
      </c>
      <c r="D11" s="399"/>
      <c r="E11" s="14">
        <v>0</v>
      </c>
      <c r="F11" s="408">
        <v>0</v>
      </c>
      <c r="H11" s="10"/>
    </row>
    <row r="12" spans="2:8" ht="18.75" x14ac:dyDescent="0.3">
      <c r="B12" s="133" t="s">
        <v>22</v>
      </c>
      <c r="C12" s="20">
        <v>4</v>
      </c>
      <c r="D12" s="399" t="s">
        <v>189</v>
      </c>
      <c r="E12" s="14">
        <v>43</v>
      </c>
      <c r="F12" s="408">
        <v>109</v>
      </c>
      <c r="H12" s="10"/>
    </row>
    <row r="13" spans="2:8" ht="18.75" x14ac:dyDescent="0.3">
      <c r="B13" s="133" t="s">
        <v>23</v>
      </c>
      <c r="C13" s="20">
        <v>0</v>
      </c>
      <c r="D13" s="399"/>
      <c r="E13" s="14">
        <v>0</v>
      </c>
      <c r="F13" s="408">
        <v>0</v>
      </c>
      <c r="H13" s="10"/>
    </row>
    <row r="14" spans="2:8" ht="18.75" x14ac:dyDescent="0.3">
      <c r="B14" s="133" t="s">
        <v>24</v>
      </c>
      <c r="C14" s="89">
        <v>0</v>
      </c>
      <c r="D14" s="399"/>
      <c r="E14" s="14">
        <v>0</v>
      </c>
      <c r="F14" s="408">
        <v>0</v>
      </c>
      <c r="H14" s="10"/>
    </row>
    <row r="15" spans="2:8" ht="18.75" customHeight="1" x14ac:dyDescent="0.25">
      <c r="B15" s="573" t="s">
        <v>25</v>
      </c>
      <c r="C15" s="20">
        <v>2</v>
      </c>
      <c r="D15" s="399" t="s">
        <v>189</v>
      </c>
      <c r="E15" s="14">
        <v>102</v>
      </c>
      <c r="F15" s="408">
        <v>102</v>
      </c>
      <c r="H15" s="10"/>
    </row>
    <row r="16" spans="2:8" ht="18.75" customHeight="1" x14ac:dyDescent="0.25">
      <c r="B16" s="574"/>
      <c r="C16" s="610">
        <v>5</v>
      </c>
      <c r="D16" s="399" t="s">
        <v>218</v>
      </c>
      <c r="E16" s="14">
        <v>28</v>
      </c>
      <c r="F16" s="408">
        <v>36</v>
      </c>
      <c r="H16" s="10"/>
    </row>
    <row r="17" spans="2:8" ht="18.75" customHeight="1" x14ac:dyDescent="0.25">
      <c r="B17" s="611" t="s">
        <v>26</v>
      </c>
      <c r="C17" s="612"/>
      <c r="D17" s="399"/>
      <c r="E17" s="14"/>
      <c r="F17" s="408"/>
      <c r="H17" s="10"/>
    </row>
    <row r="18" spans="2:8" ht="19.5" thickBot="1" x14ac:dyDescent="0.35">
      <c r="B18" s="134" t="s">
        <v>27</v>
      </c>
      <c r="C18" s="21"/>
      <c r="D18" s="400"/>
      <c r="E18" s="15"/>
      <c r="F18" s="409"/>
      <c r="H18" s="10"/>
    </row>
    <row r="19" spans="2:8" x14ac:dyDescent="0.25">
      <c r="G19" s="10"/>
      <c r="H19" s="10"/>
    </row>
    <row r="20" spans="2:8" x14ac:dyDescent="0.25">
      <c r="B20" s="10"/>
      <c r="C20" s="10"/>
      <c r="D20" s="10"/>
      <c r="E20" s="402"/>
      <c r="F20" s="402"/>
      <c r="G20" s="402"/>
      <c r="H20" s="10"/>
    </row>
    <row r="21" spans="2:8" ht="18.75" x14ac:dyDescent="0.3">
      <c r="B21" s="403"/>
      <c r="C21" s="403"/>
      <c r="D21" s="403"/>
      <c r="E21" s="17"/>
      <c r="F21" s="10"/>
      <c r="G21" s="10"/>
      <c r="H21" s="10"/>
    </row>
    <row r="22" spans="2:8" ht="18.75" x14ac:dyDescent="0.3">
      <c r="B22" s="403"/>
      <c r="C22" s="403"/>
      <c r="D22" s="403"/>
      <c r="E22" s="17"/>
      <c r="F22" s="17"/>
      <c r="G22" s="17"/>
    </row>
    <row r="23" spans="2:8" ht="18.75" x14ac:dyDescent="0.3">
      <c r="B23" s="403"/>
      <c r="C23" s="403"/>
      <c r="D23" s="403"/>
      <c r="E23" s="17"/>
      <c r="F23" s="17"/>
      <c r="G23" s="17"/>
    </row>
    <row r="24" spans="2:8" ht="18.75" x14ac:dyDescent="0.3">
      <c r="B24" s="403"/>
      <c r="C24" s="403"/>
      <c r="D24" s="403"/>
      <c r="E24" s="404"/>
      <c r="F24" s="17"/>
      <c r="G24" s="17"/>
    </row>
    <row r="25" spans="2:8" ht="18.75" x14ac:dyDescent="0.3">
      <c r="B25" s="403"/>
      <c r="C25" s="403"/>
      <c r="D25" s="403"/>
      <c r="E25" s="404"/>
      <c r="F25" s="17"/>
      <c r="G25" s="17"/>
    </row>
    <row r="26" spans="2:8" ht="18.75" x14ac:dyDescent="0.3">
      <c r="B26" s="403"/>
      <c r="C26" s="403"/>
      <c r="D26" s="403"/>
      <c r="E26" s="404"/>
      <c r="F26" s="17"/>
      <c r="G26" s="17"/>
    </row>
    <row r="27" spans="2:8" ht="18.75" x14ac:dyDescent="0.3">
      <c r="B27" s="403"/>
      <c r="C27" s="403"/>
      <c r="D27" s="403"/>
      <c r="E27" s="404"/>
      <c r="F27" s="17"/>
      <c r="G27" s="17"/>
    </row>
    <row r="28" spans="2:8" ht="18.75" x14ac:dyDescent="0.3">
      <c r="B28" s="403"/>
      <c r="C28" s="403"/>
      <c r="D28" s="403"/>
      <c r="E28" s="405"/>
      <c r="F28" s="17"/>
      <c r="G28" s="17"/>
    </row>
    <row r="29" spans="2:8" ht="18.75" x14ac:dyDescent="0.3">
      <c r="B29" s="403"/>
      <c r="C29" s="403"/>
      <c r="D29" s="403"/>
      <c r="E29" s="17"/>
      <c r="F29" s="18"/>
      <c r="G29" s="17"/>
    </row>
    <row r="30" spans="2:8" ht="18.75" x14ac:dyDescent="0.3">
      <c r="B30" s="403"/>
      <c r="C30" s="403"/>
      <c r="D30" s="403"/>
      <c r="E30" s="17"/>
      <c r="F30" s="17"/>
      <c r="G30" s="17"/>
    </row>
    <row r="31" spans="2:8" ht="18.75" x14ac:dyDescent="0.3">
      <c r="B31" s="403"/>
      <c r="C31" s="403"/>
      <c r="D31" s="403"/>
      <c r="E31" s="17"/>
      <c r="F31" s="17"/>
      <c r="G31" s="17"/>
    </row>
    <row r="32" spans="2:8" ht="18.75" x14ac:dyDescent="0.3">
      <c r="B32" s="403"/>
      <c r="C32" s="403"/>
      <c r="D32" s="403"/>
      <c r="E32" s="404"/>
      <c r="F32" s="17"/>
      <c r="G32" s="17"/>
    </row>
    <row r="33" spans="2:7" ht="31.5" customHeight="1" x14ac:dyDescent="0.3">
      <c r="B33" s="16"/>
      <c r="C33" s="16"/>
      <c r="D33" s="16"/>
      <c r="E33" s="17"/>
      <c r="F33" s="17"/>
      <c r="G33" s="17"/>
    </row>
    <row r="34" spans="2:7" x14ac:dyDescent="0.25">
      <c r="B34" s="10"/>
      <c r="C34" s="10"/>
      <c r="D34" s="10"/>
      <c r="E34" s="17"/>
      <c r="F34" s="10"/>
      <c r="G34" s="17"/>
    </row>
    <row r="35" spans="2:7" x14ac:dyDescent="0.25">
      <c r="B35" s="10"/>
      <c r="C35" s="10"/>
      <c r="D35" s="10"/>
      <c r="E35" s="17"/>
      <c r="F35" s="10"/>
      <c r="G35" s="10"/>
    </row>
    <row r="36" spans="2:7" ht="18.75" x14ac:dyDescent="0.3">
      <c r="B36" s="16"/>
      <c r="C36" s="16"/>
      <c r="D36" s="16"/>
      <c r="E36" s="17"/>
      <c r="F36" s="17"/>
      <c r="G36" s="17"/>
    </row>
    <row r="37" spans="2:7" x14ac:dyDescent="0.25">
      <c r="B37" s="10"/>
      <c r="C37" s="10"/>
      <c r="D37" s="10"/>
      <c r="E37" s="17"/>
      <c r="F37" s="10"/>
      <c r="G37" s="10"/>
    </row>
    <row r="38" spans="2:7" x14ac:dyDescent="0.25">
      <c r="B38" s="10"/>
      <c r="C38" s="10"/>
      <c r="D38" s="10"/>
      <c r="E38" s="17"/>
      <c r="F38" s="10"/>
      <c r="G38" s="10"/>
    </row>
    <row r="39" spans="2:7" ht="18.75" x14ac:dyDescent="0.3">
      <c r="B39" s="16"/>
      <c r="C39" s="16"/>
      <c r="D39" s="16"/>
      <c r="E39" s="17"/>
      <c r="F39" s="18"/>
      <c r="G39" s="17"/>
    </row>
    <row r="40" spans="2:7" x14ac:dyDescent="0.25">
      <c r="B40" s="10"/>
      <c r="C40" s="10"/>
      <c r="D40" s="10"/>
      <c r="E40" s="10"/>
      <c r="F40" s="18"/>
      <c r="G40" s="10"/>
    </row>
    <row r="41" spans="2:7" ht="18.75" x14ac:dyDescent="0.3">
      <c r="B41" s="16"/>
      <c r="C41" s="16"/>
      <c r="D41" s="16"/>
      <c r="E41" s="17"/>
      <c r="F41" s="17"/>
      <c r="G41" s="17"/>
    </row>
    <row r="42" spans="2:7" x14ac:dyDescent="0.25">
      <c r="B42" s="10"/>
      <c r="C42" s="10"/>
      <c r="D42" s="10"/>
      <c r="E42" s="17"/>
      <c r="F42" s="10"/>
      <c r="G42" s="10"/>
    </row>
    <row r="43" spans="2:7" ht="18.75" x14ac:dyDescent="0.3">
      <c r="B43" s="16"/>
      <c r="C43" s="16"/>
      <c r="D43" s="16"/>
      <c r="E43" s="17"/>
      <c r="F43" s="17"/>
      <c r="G43" s="17"/>
    </row>
    <row r="44" spans="2:7" x14ac:dyDescent="0.25">
      <c r="E44" s="17"/>
      <c r="F44" s="17"/>
      <c r="G44" s="17"/>
    </row>
  </sheetData>
  <mergeCells count="4">
    <mergeCell ref="B4:F4"/>
    <mergeCell ref="B1:F1"/>
    <mergeCell ref="B2:F2"/>
    <mergeCell ref="B15:B16"/>
  </mergeCells>
  <pageMargins left="2" right="1" top="1" bottom="1" header="0.5" footer="0.5"/>
  <pageSetup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D51BB"/>
    <pageSetUpPr fitToPage="1"/>
  </sheetPr>
  <dimension ref="C1:L37"/>
  <sheetViews>
    <sheetView zoomScaleNormal="100" zoomScaleSheetLayoutView="80" workbookViewId="0">
      <selection activeCell="H75" sqref="H75"/>
    </sheetView>
  </sheetViews>
  <sheetFormatPr defaultRowHeight="15" x14ac:dyDescent="0.25"/>
  <cols>
    <col min="7" max="7" width="11.140625" bestFit="1" customWidth="1"/>
    <col min="8" max="8" width="11.28515625" customWidth="1"/>
    <col min="9" max="9" width="10.42578125" customWidth="1"/>
    <col min="10" max="10" width="12.7109375" bestFit="1" customWidth="1"/>
    <col min="11" max="11" width="11.7109375" bestFit="1" customWidth="1"/>
    <col min="12" max="12" width="11.28515625" bestFit="1" customWidth="1"/>
  </cols>
  <sheetData>
    <row r="1" spans="3:12" x14ac:dyDescent="0.25">
      <c r="C1" s="575" t="s">
        <v>122</v>
      </c>
      <c r="D1" s="575"/>
      <c r="E1" s="575"/>
      <c r="F1" s="575"/>
      <c r="G1" s="575"/>
    </row>
    <row r="2" spans="3:12" x14ac:dyDescent="0.25">
      <c r="C2" s="575"/>
      <c r="D2" s="575"/>
      <c r="E2" s="575"/>
      <c r="F2" s="575"/>
      <c r="G2" s="575"/>
    </row>
    <row r="3" spans="3:12" ht="23.25" x14ac:dyDescent="0.35">
      <c r="C3" s="502" t="s">
        <v>212</v>
      </c>
      <c r="D3" s="502"/>
      <c r="E3" s="502"/>
      <c r="F3" s="502"/>
      <c r="G3" s="502"/>
    </row>
    <row r="4" spans="3:12" x14ac:dyDescent="0.25">
      <c r="J4" s="53"/>
      <c r="K4" s="54" t="s">
        <v>127</v>
      </c>
      <c r="L4" s="54" t="s">
        <v>126</v>
      </c>
    </row>
    <row r="5" spans="3:12" x14ac:dyDescent="0.25">
      <c r="J5" s="54" t="s">
        <v>52</v>
      </c>
      <c r="K5" s="55">
        <v>11</v>
      </c>
      <c r="L5" s="55">
        <v>24</v>
      </c>
    </row>
    <row r="6" spans="3:12" x14ac:dyDescent="0.25">
      <c r="J6" s="54" t="s">
        <v>70</v>
      </c>
      <c r="K6" s="55">
        <v>10</v>
      </c>
      <c r="L6" s="55">
        <v>32</v>
      </c>
    </row>
    <row r="7" spans="3:12" x14ac:dyDescent="0.25">
      <c r="J7" s="54" t="s">
        <v>69</v>
      </c>
      <c r="K7" s="55">
        <v>28</v>
      </c>
      <c r="L7" s="55">
        <v>112</v>
      </c>
    </row>
    <row r="8" spans="3:12" x14ac:dyDescent="0.25">
      <c r="J8" s="54" t="s">
        <v>82</v>
      </c>
      <c r="K8" s="55">
        <v>15</v>
      </c>
      <c r="L8" s="55">
        <v>70</v>
      </c>
    </row>
    <row r="9" spans="3:12" x14ac:dyDescent="0.25">
      <c r="J9" s="54" t="s">
        <v>4</v>
      </c>
      <c r="K9" s="55">
        <v>29</v>
      </c>
      <c r="L9" s="55">
        <v>144</v>
      </c>
    </row>
    <row r="10" spans="3:12" x14ac:dyDescent="0.25">
      <c r="J10" s="54" t="s">
        <v>71</v>
      </c>
      <c r="K10" s="55">
        <v>35</v>
      </c>
      <c r="L10" s="55">
        <v>130</v>
      </c>
    </row>
    <row r="11" spans="3:12" x14ac:dyDescent="0.25">
      <c r="J11" s="54" t="s">
        <v>72</v>
      </c>
      <c r="K11" s="55">
        <v>71</v>
      </c>
      <c r="L11" s="55">
        <v>268</v>
      </c>
    </row>
    <row r="12" spans="3:12" x14ac:dyDescent="0.25">
      <c r="J12" s="54" t="s">
        <v>73</v>
      </c>
      <c r="K12" s="55">
        <v>29</v>
      </c>
      <c r="L12" s="55">
        <v>132</v>
      </c>
    </row>
    <row r="13" spans="3:12" x14ac:dyDescent="0.25">
      <c r="J13" s="54" t="s">
        <v>74</v>
      </c>
      <c r="K13" s="55">
        <v>56</v>
      </c>
      <c r="L13" s="55">
        <v>203</v>
      </c>
    </row>
    <row r="14" spans="3:12" x14ac:dyDescent="0.25">
      <c r="J14" s="54" t="s">
        <v>75</v>
      </c>
      <c r="K14" s="55" t="s">
        <v>163</v>
      </c>
      <c r="L14" s="55"/>
    </row>
    <row r="15" spans="3:12" x14ac:dyDescent="0.25">
      <c r="J15" s="54" t="s">
        <v>76</v>
      </c>
      <c r="K15" s="55"/>
      <c r="L15" s="55"/>
    </row>
    <row r="16" spans="3:12" x14ac:dyDescent="0.25">
      <c r="J16" s="54" t="s">
        <v>77</v>
      </c>
      <c r="K16" s="55"/>
      <c r="L16" s="55"/>
    </row>
    <row r="20" spans="3:9" ht="15.75" thickBot="1" x14ac:dyDescent="0.3"/>
    <row r="21" spans="3:9" ht="16.5" thickBot="1" x14ac:dyDescent="0.3">
      <c r="C21" s="364"/>
      <c r="D21" s="365">
        <v>2020</v>
      </c>
      <c r="E21" s="365">
        <v>2021</v>
      </c>
      <c r="F21" s="365">
        <v>2022</v>
      </c>
      <c r="G21" s="366" t="s">
        <v>34</v>
      </c>
    </row>
    <row r="22" spans="3:9" ht="15.75" x14ac:dyDescent="0.25">
      <c r="C22" s="367" t="s">
        <v>16</v>
      </c>
      <c r="D22" s="362">
        <v>16</v>
      </c>
      <c r="E22" s="362">
        <v>9</v>
      </c>
      <c r="F22" s="362">
        <f>K5</f>
        <v>11</v>
      </c>
      <c r="G22" s="363">
        <f>F22-E22</f>
        <v>2</v>
      </c>
    </row>
    <row r="23" spans="3:9" ht="15.75" x14ac:dyDescent="0.25">
      <c r="C23" s="368" t="s">
        <v>17</v>
      </c>
      <c r="D23" s="360">
        <v>15</v>
      </c>
      <c r="E23" s="360">
        <v>2</v>
      </c>
      <c r="F23" s="360">
        <f>K6</f>
        <v>10</v>
      </c>
      <c r="G23" s="363">
        <f>F23-E23</f>
        <v>8</v>
      </c>
    </row>
    <row r="24" spans="3:9" ht="15.75" x14ac:dyDescent="0.25">
      <c r="C24" s="368" t="s">
        <v>18</v>
      </c>
      <c r="D24" s="360">
        <v>11</v>
      </c>
      <c r="E24" s="360">
        <v>9</v>
      </c>
      <c r="F24" s="360">
        <v>28</v>
      </c>
      <c r="G24" s="363">
        <f>F24-E24</f>
        <v>19</v>
      </c>
      <c r="H24" s="83"/>
      <c r="I24" s="83"/>
    </row>
    <row r="25" spans="3:9" ht="15.75" x14ac:dyDescent="0.25">
      <c r="C25" s="368" t="s">
        <v>19</v>
      </c>
      <c r="D25" s="360">
        <v>2</v>
      </c>
      <c r="E25" s="360">
        <v>7</v>
      </c>
      <c r="F25" s="360">
        <v>15</v>
      </c>
      <c r="G25" s="363">
        <f t="shared" ref="G25:G30" si="0">F25-E25</f>
        <v>8</v>
      </c>
      <c r="H25" s="84"/>
      <c r="I25" s="84"/>
    </row>
    <row r="26" spans="3:9" ht="15.75" x14ac:dyDescent="0.25">
      <c r="C26" s="368" t="s">
        <v>20</v>
      </c>
      <c r="D26" s="360">
        <v>2</v>
      </c>
      <c r="E26" s="360">
        <v>11</v>
      </c>
      <c r="F26" s="360">
        <v>29</v>
      </c>
      <c r="G26" s="363">
        <f t="shared" si="0"/>
        <v>18</v>
      </c>
      <c r="H26" s="84"/>
      <c r="I26" s="84"/>
    </row>
    <row r="27" spans="3:9" ht="15.75" x14ac:dyDescent="0.25">
      <c r="C27" s="368" t="s">
        <v>21</v>
      </c>
      <c r="D27" s="360">
        <v>6</v>
      </c>
      <c r="E27" s="360">
        <v>14</v>
      </c>
      <c r="F27" s="360">
        <v>35</v>
      </c>
      <c r="G27" s="363">
        <f t="shared" si="0"/>
        <v>21</v>
      </c>
      <c r="H27" s="84"/>
      <c r="I27" s="84"/>
    </row>
    <row r="28" spans="3:9" ht="15.75" x14ac:dyDescent="0.25">
      <c r="C28" s="368" t="s">
        <v>22</v>
      </c>
      <c r="D28" s="360">
        <v>3</v>
      </c>
      <c r="E28" s="360">
        <v>22</v>
      </c>
      <c r="F28" s="360">
        <v>71</v>
      </c>
      <c r="G28" s="363">
        <f t="shared" si="0"/>
        <v>49</v>
      </c>
      <c r="H28" s="84"/>
      <c r="I28" s="84"/>
    </row>
    <row r="29" spans="3:9" ht="15.75" x14ac:dyDescent="0.25">
      <c r="C29" s="368" t="s">
        <v>23</v>
      </c>
      <c r="D29" s="360">
        <v>7</v>
      </c>
      <c r="E29" s="360">
        <v>28</v>
      </c>
      <c r="F29" s="360">
        <v>29</v>
      </c>
      <c r="G29" s="363">
        <f t="shared" si="0"/>
        <v>1</v>
      </c>
      <c r="H29" s="84"/>
      <c r="I29" s="84"/>
    </row>
    <row r="30" spans="3:9" ht="15.75" x14ac:dyDescent="0.25">
      <c r="C30" s="368" t="s">
        <v>24</v>
      </c>
      <c r="D30" s="360">
        <v>11</v>
      </c>
      <c r="E30" s="360">
        <v>26</v>
      </c>
      <c r="F30" s="360">
        <v>56</v>
      </c>
      <c r="G30" s="361">
        <f t="shared" si="0"/>
        <v>30</v>
      </c>
      <c r="H30" s="84"/>
      <c r="I30" s="84"/>
    </row>
    <row r="31" spans="3:9" ht="15.75" x14ac:dyDescent="0.25">
      <c r="C31" s="368" t="s">
        <v>25</v>
      </c>
      <c r="D31" s="360">
        <v>6</v>
      </c>
      <c r="E31" s="360">
        <v>46</v>
      </c>
      <c r="F31" s="360"/>
      <c r="G31" s="361"/>
      <c r="H31" s="84"/>
      <c r="I31" s="84"/>
    </row>
    <row r="32" spans="3:9" ht="15.75" x14ac:dyDescent="0.25">
      <c r="C32" s="368" t="s">
        <v>26</v>
      </c>
      <c r="D32" s="360">
        <v>6</v>
      </c>
      <c r="E32" s="360">
        <v>23</v>
      </c>
      <c r="F32" s="360"/>
      <c r="G32" s="361"/>
      <c r="H32" s="84"/>
      <c r="I32" s="84"/>
    </row>
    <row r="33" spans="3:9" ht="16.5" thickBot="1" x14ac:dyDescent="0.3">
      <c r="C33" s="369" t="s">
        <v>27</v>
      </c>
      <c r="D33" s="370">
        <v>6</v>
      </c>
      <c r="E33" s="370">
        <v>18</v>
      </c>
      <c r="F33" s="370"/>
      <c r="G33" s="371"/>
      <c r="H33" s="84"/>
      <c r="I33" s="84"/>
    </row>
    <row r="34" spans="3:9" ht="16.5" thickBot="1" x14ac:dyDescent="0.3">
      <c r="C34" s="372" t="s">
        <v>64</v>
      </c>
      <c r="D34" s="373">
        <f>SUM(D22:D33)</f>
        <v>91</v>
      </c>
      <c r="E34" s="374">
        <f>SUM(E22:E33)</f>
        <v>215</v>
      </c>
      <c r="F34" s="374">
        <f>SUM(F22:F33)</f>
        <v>284</v>
      </c>
      <c r="G34" s="375">
        <f>SUM(G22:G33)</f>
        <v>156</v>
      </c>
      <c r="H34" s="84"/>
      <c r="I34" s="84"/>
    </row>
    <row r="35" spans="3:9" ht="15.75" x14ac:dyDescent="0.25">
      <c r="H35" s="84"/>
      <c r="I35" s="84"/>
    </row>
    <row r="36" spans="3:9" ht="15.75" x14ac:dyDescent="0.25">
      <c r="H36" s="84"/>
      <c r="I36" s="84"/>
    </row>
    <row r="37" spans="3:9" ht="15.75" x14ac:dyDescent="0.25">
      <c r="H37" s="85"/>
      <c r="I37" s="85"/>
    </row>
  </sheetData>
  <mergeCells count="2">
    <mergeCell ref="C1:G2"/>
    <mergeCell ref="C3:G3"/>
  </mergeCells>
  <pageMargins left="1.5" right="1" top="1" bottom="1" header="0.5" footer="0.5"/>
  <pageSetup scale="8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L34"/>
  <sheetViews>
    <sheetView zoomScale="115" zoomScaleNormal="115" zoomScaleSheetLayoutView="85" workbookViewId="0">
      <selection activeCell="I2" sqref="I2"/>
    </sheetView>
  </sheetViews>
  <sheetFormatPr defaultRowHeight="15" x14ac:dyDescent="0.25"/>
  <cols>
    <col min="3" max="3" width="8.42578125" bestFit="1" customWidth="1"/>
    <col min="4" max="4" width="9" customWidth="1"/>
    <col min="6" max="6" width="10" customWidth="1"/>
    <col min="7" max="7" width="8.85546875" customWidth="1"/>
    <col min="9" max="9" width="10.5703125" customWidth="1"/>
    <col min="10" max="10" width="22.5703125" customWidth="1"/>
    <col min="11" max="11" width="10" bestFit="1" customWidth="1"/>
  </cols>
  <sheetData>
    <row r="1" spans="2:10" ht="23.25" x14ac:dyDescent="0.35">
      <c r="B1" s="506" t="s">
        <v>167</v>
      </c>
      <c r="C1" s="506"/>
      <c r="D1" s="506"/>
      <c r="E1" s="506"/>
      <c r="F1" s="506"/>
      <c r="G1" s="506"/>
      <c r="H1" s="506"/>
    </row>
    <row r="2" spans="2:10" ht="23.25" x14ac:dyDescent="0.35">
      <c r="B2" s="502" t="s">
        <v>213</v>
      </c>
      <c r="C2" s="502"/>
      <c r="D2" s="502"/>
      <c r="E2" s="502"/>
      <c r="F2" s="502"/>
      <c r="G2" s="502"/>
      <c r="H2" s="502"/>
    </row>
    <row r="15" spans="2:10" x14ac:dyDescent="0.25">
      <c r="J15" s="80"/>
    </row>
    <row r="18" spans="2:12" ht="15.75" thickBot="1" x14ac:dyDescent="0.3"/>
    <row r="19" spans="2:12" ht="19.5" thickBot="1" x14ac:dyDescent="0.35">
      <c r="B19" s="580" t="s">
        <v>203</v>
      </c>
      <c r="C19" s="581"/>
      <c r="D19" s="581"/>
      <c r="E19" s="581"/>
      <c r="F19" s="581"/>
      <c r="G19" s="581"/>
      <c r="H19" s="582"/>
      <c r="I19" s="107"/>
      <c r="J19" s="107"/>
      <c r="K19" s="107"/>
      <c r="L19" s="107"/>
    </row>
    <row r="20" spans="2:12" ht="15.75" customHeight="1" thickBot="1" x14ac:dyDescent="0.3">
      <c r="B20" s="108"/>
      <c r="C20" s="576" t="s">
        <v>78</v>
      </c>
      <c r="D20" s="577"/>
      <c r="E20" s="576" t="s">
        <v>79</v>
      </c>
      <c r="F20" s="577"/>
      <c r="G20" s="578" t="s">
        <v>168</v>
      </c>
      <c r="H20" s="579"/>
    </row>
    <row r="21" spans="2:12" ht="30.75" thickBot="1" x14ac:dyDescent="0.3">
      <c r="B21" s="108"/>
      <c r="C21" s="109" t="s">
        <v>165</v>
      </c>
      <c r="D21" s="110" t="s">
        <v>166</v>
      </c>
      <c r="E21" s="109" t="s">
        <v>165</v>
      </c>
      <c r="F21" s="110" t="s">
        <v>166</v>
      </c>
      <c r="G21" s="109" t="s">
        <v>165</v>
      </c>
      <c r="H21" s="110" t="s">
        <v>166</v>
      </c>
    </row>
    <row r="22" spans="2:12" x14ac:dyDescent="0.25">
      <c r="B22" s="111" t="s">
        <v>16</v>
      </c>
      <c r="C22" s="112">
        <v>18.157</v>
      </c>
      <c r="D22" s="113">
        <v>13.6495</v>
      </c>
      <c r="E22" s="112">
        <v>30.427500000000002</v>
      </c>
      <c r="F22" s="113">
        <v>3.2125000000000004</v>
      </c>
      <c r="G22" s="114">
        <v>48.584500000000006</v>
      </c>
      <c r="H22" s="113">
        <v>16.862000000000002</v>
      </c>
    </row>
    <row r="23" spans="2:12" x14ac:dyDescent="0.25">
      <c r="B23" s="111" t="s">
        <v>17</v>
      </c>
      <c r="C23" s="112">
        <v>20.382999999999999</v>
      </c>
      <c r="D23" s="113">
        <v>14.55</v>
      </c>
      <c r="E23" s="112">
        <v>26.7515</v>
      </c>
      <c r="F23" s="113">
        <v>4.8565000000000005</v>
      </c>
      <c r="G23" s="116">
        <v>47.134500000000003</v>
      </c>
      <c r="H23" s="113">
        <v>19.406500000000001</v>
      </c>
    </row>
    <row r="24" spans="2:12" x14ac:dyDescent="0.25">
      <c r="B24" s="111" t="s">
        <v>18</v>
      </c>
      <c r="C24" s="112">
        <v>49.833500000000001</v>
      </c>
      <c r="D24" s="113">
        <v>18.802499999999998</v>
      </c>
      <c r="E24" s="112">
        <v>36.458500000000001</v>
      </c>
      <c r="F24" s="113">
        <v>4.109</v>
      </c>
      <c r="G24" s="114">
        <v>86.292000000000002</v>
      </c>
      <c r="H24" s="113">
        <v>22.911499999999997</v>
      </c>
    </row>
    <row r="25" spans="2:12" x14ac:dyDescent="0.25">
      <c r="B25" s="111" t="s">
        <v>19</v>
      </c>
      <c r="C25" s="112">
        <v>27.088999999999999</v>
      </c>
      <c r="D25" s="113">
        <v>12.601000000000001</v>
      </c>
      <c r="E25" s="112">
        <v>31.597999999999999</v>
      </c>
      <c r="F25" s="113">
        <v>3.9165000000000001</v>
      </c>
      <c r="G25" s="116">
        <v>58.686999999999998</v>
      </c>
      <c r="H25" s="113">
        <v>16.517500000000002</v>
      </c>
    </row>
    <row r="26" spans="2:12" x14ac:dyDescent="0.25">
      <c r="B26" s="111" t="s">
        <v>20</v>
      </c>
      <c r="C26" s="112">
        <v>33.911999999999999</v>
      </c>
      <c r="D26" s="112">
        <v>15.824999999999999</v>
      </c>
      <c r="E26" s="112">
        <v>35.605000000000004</v>
      </c>
      <c r="F26" s="115">
        <v>4.0720000000000001</v>
      </c>
      <c r="G26" s="114">
        <v>69.516999999999996</v>
      </c>
      <c r="H26" s="113">
        <v>19.896999999999998</v>
      </c>
    </row>
    <row r="27" spans="2:12" x14ac:dyDescent="0.25">
      <c r="B27" s="111" t="s">
        <v>21</v>
      </c>
      <c r="C27" s="112">
        <v>36.494999999999997</v>
      </c>
      <c r="D27" s="112">
        <v>19.079499999999999</v>
      </c>
      <c r="E27" s="112">
        <v>35.604500000000002</v>
      </c>
      <c r="F27" s="115">
        <v>6.6594999999999995</v>
      </c>
      <c r="G27" s="116">
        <v>72.099500000000006</v>
      </c>
      <c r="H27" s="113">
        <v>25.738999999999997</v>
      </c>
    </row>
    <row r="28" spans="2:12" x14ac:dyDescent="0.25">
      <c r="B28" s="111" t="s">
        <v>22</v>
      </c>
      <c r="C28" s="112">
        <v>33.4</v>
      </c>
      <c r="D28" s="115">
        <v>16.809999999999999</v>
      </c>
      <c r="E28" s="112">
        <v>32.950000000000003</v>
      </c>
      <c r="F28" s="115">
        <v>3.06</v>
      </c>
      <c r="G28" s="114">
        <f t="shared" ref="G28:G33" si="0">SUM(C28+E28)</f>
        <v>66.349999999999994</v>
      </c>
      <c r="H28" s="113">
        <f t="shared" ref="H28:H33" si="1">SUM(D28+F28)</f>
        <v>19.869999999999997</v>
      </c>
    </row>
    <row r="29" spans="2:12" x14ac:dyDescent="0.25">
      <c r="B29" s="111" t="s">
        <v>23</v>
      </c>
      <c r="C29" s="112">
        <v>33.92</v>
      </c>
      <c r="D29" s="115">
        <v>18.04</v>
      </c>
      <c r="E29" s="112">
        <f>31.73+10.52</f>
        <v>42.25</v>
      </c>
      <c r="F29" s="115">
        <f>6.11+0.51</f>
        <v>6.62</v>
      </c>
      <c r="G29" s="116">
        <f t="shared" si="0"/>
        <v>76.17</v>
      </c>
      <c r="H29" s="113">
        <f t="shared" si="1"/>
        <v>24.66</v>
      </c>
    </row>
    <row r="30" spans="2:12" x14ac:dyDescent="0.25">
      <c r="B30" s="111" t="s">
        <v>24</v>
      </c>
      <c r="C30" s="112">
        <v>33.909999999999997</v>
      </c>
      <c r="D30" s="115">
        <v>16.3</v>
      </c>
      <c r="E30" s="112">
        <f>46.16+4.55</f>
        <v>50.709999999999994</v>
      </c>
      <c r="F30" s="115">
        <f>4.26+0.4</f>
        <v>4.66</v>
      </c>
      <c r="G30" s="114">
        <f t="shared" si="0"/>
        <v>84.61999999999999</v>
      </c>
      <c r="H30" s="113">
        <f t="shared" si="1"/>
        <v>20.96</v>
      </c>
    </row>
    <row r="31" spans="2:12" x14ac:dyDescent="0.25">
      <c r="B31" s="111" t="s">
        <v>25</v>
      </c>
      <c r="C31" s="112">
        <v>29.94</v>
      </c>
      <c r="D31" s="115">
        <v>18.07</v>
      </c>
      <c r="E31" s="112">
        <f>5.06+28.55</f>
        <v>33.61</v>
      </c>
      <c r="F31" s="130">
        <f>2.96+3.31</f>
        <v>6.27</v>
      </c>
      <c r="G31" s="116">
        <f t="shared" si="0"/>
        <v>63.55</v>
      </c>
      <c r="H31" s="113">
        <f t="shared" si="1"/>
        <v>24.34</v>
      </c>
    </row>
    <row r="32" spans="2:12" x14ac:dyDescent="0.25">
      <c r="B32" s="111" t="s">
        <v>26</v>
      </c>
      <c r="C32" s="112"/>
      <c r="D32" s="115"/>
      <c r="E32" s="112"/>
      <c r="F32" s="115"/>
      <c r="G32" s="114">
        <f t="shared" si="0"/>
        <v>0</v>
      </c>
      <c r="H32" s="113">
        <f t="shared" si="1"/>
        <v>0</v>
      </c>
    </row>
    <row r="33" spans="2:8" ht="15.75" thickBot="1" x14ac:dyDescent="0.3">
      <c r="B33" s="117" t="s">
        <v>27</v>
      </c>
      <c r="C33" s="112"/>
      <c r="D33" s="115"/>
      <c r="E33" s="112"/>
      <c r="F33" s="130"/>
      <c r="G33" s="116">
        <f t="shared" si="0"/>
        <v>0</v>
      </c>
      <c r="H33" s="113">
        <f t="shared" si="1"/>
        <v>0</v>
      </c>
    </row>
    <row r="34" spans="2:8" ht="15.75" thickBot="1" x14ac:dyDescent="0.3">
      <c r="B34" s="118" t="s">
        <v>64</v>
      </c>
      <c r="C34" s="119">
        <f t="shared" ref="C34:H34" si="2">SUM(C22:C33)</f>
        <v>317.03950000000003</v>
      </c>
      <c r="D34" s="120">
        <f t="shared" si="2"/>
        <v>163.72749999999999</v>
      </c>
      <c r="E34" s="121">
        <f t="shared" si="2"/>
        <v>355.96500000000003</v>
      </c>
      <c r="F34" s="122">
        <f t="shared" si="2"/>
        <v>47.435999999999993</v>
      </c>
      <c r="G34" s="123">
        <f t="shared" si="2"/>
        <v>673.00450000000001</v>
      </c>
      <c r="H34" s="122">
        <f t="shared" si="2"/>
        <v>211.16350000000003</v>
      </c>
    </row>
  </sheetData>
  <mergeCells count="6">
    <mergeCell ref="B1:H1"/>
    <mergeCell ref="B2:H2"/>
    <mergeCell ref="C20:D20"/>
    <mergeCell ref="E20:F20"/>
    <mergeCell ref="G20:H20"/>
    <mergeCell ref="B19:H19"/>
  </mergeCells>
  <pageMargins left="1.75" right="1" top="1" bottom="1" header="0.5" footer="0.5"/>
  <pageSetup scale="88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AA54"/>
  <sheetViews>
    <sheetView zoomScale="90" zoomScaleNormal="90" zoomScaleSheetLayoutView="80" workbookViewId="0">
      <selection activeCell="E51" sqref="E51"/>
    </sheetView>
  </sheetViews>
  <sheetFormatPr defaultRowHeight="15" x14ac:dyDescent="0.25"/>
  <cols>
    <col min="1" max="1" width="9.140625" customWidth="1"/>
    <col min="2" max="2" width="17.85546875" customWidth="1"/>
    <col min="3" max="6" width="21.85546875" customWidth="1"/>
    <col min="7" max="7" width="14" bestFit="1" customWidth="1"/>
    <col min="8" max="8" width="14" customWidth="1"/>
    <col min="9" max="9" width="9.28515625" customWidth="1"/>
    <col min="10" max="10" width="15" bestFit="1" customWidth="1"/>
    <col min="11" max="11" width="18.140625" customWidth="1"/>
    <col min="12" max="13" width="18.85546875" bestFit="1" customWidth="1"/>
    <col min="14" max="14" width="26.85546875" bestFit="1" customWidth="1"/>
    <col min="15" max="15" width="14" bestFit="1" customWidth="1"/>
  </cols>
  <sheetData>
    <row r="1" spans="2:27" ht="23.25" x14ac:dyDescent="0.35">
      <c r="B1" s="501" t="s">
        <v>123</v>
      </c>
      <c r="C1" s="501"/>
      <c r="D1" s="501"/>
      <c r="E1" s="501"/>
      <c r="F1" s="501"/>
      <c r="G1" s="501"/>
      <c r="H1" s="483"/>
      <c r="I1" s="501" t="s">
        <v>209</v>
      </c>
      <c r="J1" s="501"/>
      <c r="K1" s="501"/>
      <c r="L1" s="501"/>
      <c r="M1" s="501"/>
      <c r="N1" s="501"/>
      <c r="O1" s="501"/>
      <c r="P1" s="501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</row>
    <row r="2" spans="2:27" ht="23.25" x14ac:dyDescent="0.35">
      <c r="B2" s="502" t="s">
        <v>213</v>
      </c>
      <c r="C2" s="502"/>
      <c r="D2" s="502"/>
      <c r="E2" s="502"/>
      <c r="F2" s="502"/>
      <c r="G2" s="502"/>
      <c r="H2" s="484"/>
      <c r="I2" s="502" t="s">
        <v>212</v>
      </c>
      <c r="J2" s="502"/>
      <c r="K2" s="502"/>
      <c r="L2" s="502"/>
      <c r="M2" s="502"/>
      <c r="N2" s="502"/>
      <c r="O2" s="502"/>
      <c r="P2" s="502"/>
      <c r="Q2" s="486"/>
      <c r="R2" s="486"/>
    </row>
    <row r="16" spans="2:27" x14ac:dyDescent="0.25">
      <c r="I16" s="86"/>
    </row>
    <row r="17" spans="2:15" x14ac:dyDescent="0.25">
      <c r="I17" s="86"/>
    </row>
    <row r="18" spans="2:15" x14ac:dyDescent="0.25">
      <c r="I18" s="86"/>
    </row>
    <row r="21" spans="2:15" x14ac:dyDescent="0.25">
      <c r="I21" s="61"/>
    </row>
    <row r="23" spans="2:15" ht="15.75" thickBot="1" x14ac:dyDescent="0.3"/>
    <row r="24" spans="2:15" ht="18.75" customHeight="1" x14ac:dyDescent="0.3">
      <c r="B24" s="596"/>
      <c r="C24" s="327" t="s">
        <v>80</v>
      </c>
      <c r="D24" s="330" t="s">
        <v>80</v>
      </c>
      <c r="E24" s="330" t="s">
        <v>80</v>
      </c>
      <c r="F24" s="594" t="s">
        <v>207</v>
      </c>
      <c r="G24" s="592" t="s">
        <v>81</v>
      </c>
      <c r="H24" s="487"/>
      <c r="J24" s="583"/>
      <c r="K24" s="497" t="s">
        <v>210</v>
      </c>
      <c r="L24" s="497" t="s">
        <v>210</v>
      </c>
      <c r="M24" s="498" t="s">
        <v>210</v>
      </c>
      <c r="N24" s="585" t="s">
        <v>208</v>
      </c>
      <c r="O24" s="587" t="s">
        <v>81</v>
      </c>
    </row>
    <row r="25" spans="2:15" ht="18.75" customHeight="1" thickBot="1" x14ac:dyDescent="0.3">
      <c r="B25" s="597"/>
      <c r="C25" s="22">
        <v>2020</v>
      </c>
      <c r="D25" s="331">
        <v>2021</v>
      </c>
      <c r="E25" s="331">
        <v>2022</v>
      </c>
      <c r="F25" s="595"/>
      <c r="G25" s="593"/>
      <c r="H25" s="487"/>
      <c r="J25" s="584"/>
      <c r="K25" s="331">
        <v>2020</v>
      </c>
      <c r="L25" s="331">
        <v>2021</v>
      </c>
      <c r="M25" s="499">
        <v>2022</v>
      </c>
      <c r="N25" s="586"/>
      <c r="O25" s="588"/>
    </row>
    <row r="26" spans="2:15" ht="18" x14ac:dyDescent="0.25">
      <c r="B26" s="23" t="s">
        <v>52</v>
      </c>
      <c r="C26" s="328">
        <v>90060.33</v>
      </c>
      <c r="D26" s="332">
        <v>46194.42</v>
      </c>
      <c r="E26" s="332">
        <v>69148.460000000006</v>
      </c>
      <c r="F26" s="337">
        <v>97139.083333333299</v>
      </c>
      <c r="G26" s="87">
        <f t="shared" ref="G26:G37" si="0">(E26-D26)/D26</f>
        <v>0.49690070792100016</v>
      </c>
      <c r="H26" s="488"/>
      <c r="J26" s="23" t="s">
        <v>52</v>
      </c>
      <c r="K26" s="328">
        <v>11826.13</v>
      </c>
      <c r="L26" s="332">
        <v>11317.17</v>
      </c>
      <c r="M26" s="332">
        <v>11317.17</v>
      </c>
      <c r="N26" s="337">
        <v>11656.69</v>
      </c>
      <c r="O26" s="87">
        <f t="shared" ref="O26:O33" si="1">(M26-L26)/L26</f>
        <v>0</v>
      </c>
    </row>
    <row r="27" spans="2:15" ht="18" x14ac:dyDescent="0.25">
      <c r="B27" s="24" t="s">
        <v>70</v>
      </c>
      <c r="C27" s="328">
        <v>93620.34</v>
      </c>
      <c r="D27" s="332">
        <v>52769.090000000004</v>
      </c>
      <c r="E27" s="332">
        <v>90474.21</v>
      </c>
      <c r="F27" s="337">
        <v>97139.083333333343</v>
      </c>
      <c r="G27" s="87">
        <f t="shared" si="0"/>
        <v>0.71453041922837779</v>
      </c>
      <c r="H27" s="488"/>
      <c r="J27" s="24" t="s">
        <v>70</v>
      </c>
      <c r="K27" s="328">
        <v>12327.75</v>
      </c>
      <c r="L27" s="332">
        <v>11317.17</v>
      </c>
      <c r="M27" s="332">
        <v>8068.75</v>
      </c>
      <c r="N27" s="337">
        <v>11656.69</v>
      </c>
      <c r="O27" s="87">
        <f t="shared" si="1"/>
        <v>-0.28703465619054941</v>
      </c>
    </row>
    <row r="28" spans="2:15" ht="18" x14ac:dyDescent="0.25">
      <c r="B28" s="23" t="s">
        <v>69</v>
      </c>
      <c r="C28" s="328">
        <v>63141.23</v>
      </c>
      <c r="D28" s="332">
        <v>75644.09</v>
      </c>
      <c r="E28" s="332">
        <v>99008.599999999991</v>
      </c>
      <c r="F28" s="337">
        <v>97139.083333333343</v>
      </c>
      <c r="G28" s="87">
        <f t="shared" si="0"/>
        <v>0.30887422930198505</v>
      </c>
      <c r="H28" s="488"/>
      <c r="J28" s="23" t="s">
        <v>69</v>
      </c>
      <c r="K28" s="328">
        <v>11399.6</v>
      </c>
      <c r="L28" s="332">
        <v>11317.17</v>
      </c>
      <c r="M28" s="332">
        <v>13416.49</v>
      </c>
      <c r="N28" s="337">
        <v>11656.69</v>
      </c>
      <c r="O28" s="87">
        <f t="shared" si="1"/>
        <v>0.18549867148765986</v>
      </c>
    </row>
    <row r="29" spans="2:15" ht="18" x14ac:dyDescent="0.25">
      <c r="B29" s="24" t="s">
        <v>82</v>
      </c>
      <c r="C29" s="328">
        <v>3435.17</v>
      </c>
      <c r="D29" s="332">
        <v>75068.429999999993</v>
      </c>
      <c r="E29" s="332">
        <v>82844.05</v>
      </c>
      <c r="F29" s="337">
        <v>97139.083333333343</v>
      </c>
      <c r="G29" s="87">
        <f t="shared" si="0"/>
        <v>0.10358042655214729</v>
      </c>
      <c r="H29" s="488"/>
      <c r="J29" s="24" t="s">
        <v>82</v>
      </c>
      <c r="K29" s="328">
        <v>444.31</v>
      </c>
      <c r="L29" s="332">
        <v>11317.17</v>
      </c>
      <c r="M29" s="332">
        <v>11656.69</v>
      </c>
      <c r="N29" s="337">
        <v>11656.69</v>
      </c>
      <c r="O29" s="87">
        <f t="shared" si="1"/>
        <v>3.000043297043346E-2</v>
      </c>
    </row>
    <row r="30" spans="2:15" ht="18" x14ac:dyDescent="0.25">
      <c r="B30" s="23" t="s">
        <v>4</v>
      </c>
      <c r="C30" s="328">
        <v>9684.26</v>
      </c>
      <c r="D30" s="332">
        <v>82168</v>
      </c>
      <c r="E30" s="332">
        <v>105084.18000000001</v>
      </c>
      <c r="F30" s="337">
        <v>97139.083333333343</v>
      </c>
      <c r="G30" s="87">
        <f t="shared" si="0"/>
        <v>0.27889421672670633</v>
      </c>
      <c r="H30" s="488"/>
      <c r="J30" s="23" t="s">
        <v>4</v>
      </c>
      <c r="K30" s="328">
        <v>1247.2248999999999</v>
      </c>
      <c r="L30" s="332">
        <v>11317.17</v>
      </c>
      <c r="M30" s="332">
        <v>13930.77</v>
      </c>
      <c r="N30" s="337">
        <v>11656.69</v>
      </c>
      <c r="O30" s="87">
        <f t="shared" si="1"/>
        <v>0.23094112750802545</v>
      </c>
    </row>
    <row r="31" spans="2:15" ht="18" x14ac:dyDescent="0.25">
      <c r="B31" s="24" t="s">
        <v>71</v>
      </c>
      <c r="C31" s="328">
        <v>24578.52</v>
      </c>
      <c r="D31" s="332">
        <v>89074.92</v>
      </c>
      <c r="E31" s="332">
        <v>90715.95</v>
      </c>
      <c r="F31" s="337">
        <v>97139.083333333343</v>
      </c>
      <c r="G31" s="87">
        <f t="shared" si="0"/>
        <v>1.8423030859864919E-2</v>
      </c>
      <c r="H31" s="488"/>
      <c r="J31" s="24" t="s">
        <v>71</v>
      </c>
      <c r="K31" s="328">
        <v>3320.4312</v>
      </c>
      <c r="L31" s="332">
        <v>11754</v>
      </c>
      <c r="M31" s="332">
        <v>11964.28</v>
      </c>
      <c r="N31" s="337">
        <v>11656.69</v>
      </c>
      <c r="O31" s="87">
        <f t="shared" si="1"/>
        <v>1.789007997277528E-2</v>
      </c>
    </row>
    <row r="32" spans="2:15" ht="18" x14ac:dyDescent="0.25">
      <c r="B32" s="23" t="s">
        <v>72</v>
      </c>
      <c r="C32" s="328">
        <v>38712.370000000003</v>
      </c>
      <c r="D32" s="332">
        <v>93840.07</v>
      </c>
      <c r="E32" s="332">
        <v>96559.33</v>
      </c>
      <c r="F32" s="337">
        <v>97139.083333333343</v>
      </c>
      <c r="G32" s="87">
        <f t="shared" si="0"/>
        <v>2.8977599867519223E-2</v>
      </c>
      <c r="H32" s="488"/>
      <c r="J32" s="23" t="s">
        <v>72</v>
      </c>
      <c r="K32" s="328">
        <v>11317.17</v>
      </c>
      <c r="L32" s="332">
        <v>12316.14</v>
      </c>
      <c r="M32" s="332">
        <v>12657.73</v>
      </c>
      <c r="N32" s="337">
        <v>11656.69</v>
      </c>
      <c r="O32" s="87">
        <f t="shared" si="1"/>
        <v>2.7735150785879355E-2</v>
      </c>
    </row>
    <row r="33" spans="2:15" ht="18" x14ac:dyDescent="0.25">
      <c r="B33" s="24" t="s">
        <v>73</v>
      </c>
      <c r="C33" s="328">
        <v>46560.740000000005</v>
      </c>
      <c r="D33" s="332">
        <v>76797.899999999994</v>
      </c>
      <c r="E33" s="332">
        <v>95967.47</v>
      </c>
      <c r="F33" s="337">
        <v>97139.083333333343</v>
      </c>
      <c r="G33" s="87">
        <f t="shared" si="0"/>
        <v>0.24961060133154694</v>
      </c>
      <c r="H33" s="488"/>
      <c r="J33" s="24" t="s">
        <v>73</v>
      </c>
      <c r="K33" s="328">
        <v>17177.71</v>
      </c>
      <c r="L33" s="332">
        <v>11317.17</v>
      </c>
      <c r="M33" s="332">
        <v>12548.6</v>
      </c>
      <c r="N33" s="337">
        <v>11656.69</v>
      </c>
      <c r="O33" s="87">
        <f t="shared" si="1"/>
        <v>0.10881077159749304</v>
      </c>
    </row>
    <row r="34" spans="2:15" ht="18" x14ac:dyDescent="0.25">
      <c r="B34" s="23" t="s">
        <v>74</v>
      </c>
      <c r="C34" s="328">
        <v>43459.88</v>
      </c>
      <c r="D34" s="332">
        <v>68533.899999999994</v>
      </c>
      <c r="E34" s="332">
        <v>103038.94</v>
      </c>
      <c r="F34" s="337">
        <v>97139.083333333343</v>
      </c>
      <c r="G34" s="87">
        <f>(E34-D34)/D34</f>
        <v>0.50347404715038846</v>
      </c>
      <c r="H34" s="488"/>
      <c r="J34" s="23" t="s">
        <v>74</v>
      </c>
      <c r="K34" s="328">
        <v>17177.71</v>
      </c>
      <c r="L34" s="332">
        <v>11317.17</v>
      </c>
      <c r="M34" s="332">
        <v>13530.91</v>
      </c>
      <c r="N34" s="337">
        <v>11656.69</v>
      </c>
      <c r="O34" s="87">
        <f>(M34-L34)/L34</f>
        <v>0.19560897291460672</v>
      </c>
    </row>
    <row r="35" spans="2:15" ht="18" x14ac:dyDescent="0.25">
      <c r="B35" s="24" t="s">
        <v>75</v>
      </c>
      <c r="C35" s="328">
        <v>51707.08</v>
      </c>
      <c r="D35" s="332">
        <v>82215.91</v>
      </c>
      <c r="E35" s="332">
        <v>109919.55</v>
      </c>
      <c r="F35" s="337">
        <v>97139.083333333343</v>
      </c>
      <c r="G35" s="87">
        <f t="shared" si="0"/>
        <v>0.33696203082833964</v>
      </c>
      <c r="H35" s="488"/>
      <c r="J35" s="24" t="s">
        <v>75</v>
      </c>
      <c r="K35" s="328">
        <v>17177.71</v>
      </c>
      <c r="L35" s="332">
        <v>11317.17</v>
      </c>
      <c r="M35" s="332">
        <v>14492.29</v>
      </c>
      <c r="N35" s="337">
        <v>11656.69</v>
      </c>
      <c r="O35" s="87">
        <f t="shared" ref="O35" si="2">(M35-L35)/L35</f>
        <v>0.28055777195182197</v>
      </c>
    </row>
    <row r="36" spans="2:15" ht="18" x14ac:dyDescent="0.25">
      <c r="B36" s="24" t="s">
        <v>76</v>
      </c>
      <c r="C36" s="328">
        <v>44307</v>
      </c>
      <c r="D36" s="332">
        <v>80080.899999999994</v>
      </c>
      <c r="E36" s="332"/>
      <c r="F36" s="337">
        <v>97139.083333333343</v>
      </c>
      <c r="G36" s="87">
        <f>(E36-D36)/D36</f>
        <v>-1</v>
      </c>
      <c r="H36" s="488"/>
      <c r="J36" s="24" t="s">
        <v>76</v>
      </c>
      <c r="K36" s="328">
        <v>17177.71</v>
      </c>
      <c r="L36" s="332">
        <v>11317.17</v>
      </c>
      <c r="M36" s="332"/>
      <c r="N36" s="337">
        <v>11656.69</v>
      </c>
      <c r="O36" s="87">
        <f>(M36-L36)/L36</f>
        <v>-1</v>
      </c>
    </row>
    <row r="37" spans="2:15" ht="18.75" thickBot="1" x14ac:dyDescent="0.3">
      <c r="B37" s="24" t="s">
        <v>77</v>
      </c>
      <c r="C37" s="328">
        <v>49334.11</v>
      </c>
      <c r="D37" s="332">
        <v>99871.52</v>
      </c>
      <c r="E37" s="332"/>
      <c r="F37" s="337">
        <v>97139.083333333343</v>
      </c>
      <c r="G37" s="87">
        <f t="shared" si="0"/>
        <v>-1</v>
      </c>
      <c r="H37" s="488"/>
      <c r="J37" s="24" t="s">
        <v>77</v>
      </c>
      <c r="K37" s="328">
        <v>17177.71</v>
      </c>
      <c r="L37" s="332">
        <v>13129.84</v>
      </c>
      <c r="M37" s="332"/>
      <c r="N37" s="337">
        <v>11656.69</v>
      </c>
      <c r="O37" s="87">
        <f t="shared" ref="O37" si="3">(M37-L37)/L37</f>
        <v>-1</v>
      </c>
    </row>
    <row r="38" spans="2:15" ht="19.5" thickTop="1" thickBot="1" x14ac:dyDescent="0.3">
      <c r="B38" s="25" t="s">
        <v>46</v>
      </c>
      <c r="C38" s="26">
        <f>SUM(C26:C37)</f>
        <v>558601.03</v>
      </c>
      <c r="D38" s="329">
        <f>SUM(D26:D37)</f>
        <v>922259.15000000014</v>
      </c>
      <c r="E38" s="333">
        <f>SUM(E26:E37)</f>
        <v>942760.74</v>
      </c>
      <c r="F38" s="26">
        <f>SUM(F26:F37)</f>
        <v>1165669.0000000002</v>
      </c>
      <c r="G38" s="422">
        <f>(E38-(D26+D27+D28+D29+D30+D31+D32+D33+D34+D35))/(D26+D27+D28+D29+D30+D31+D32+D33+D34+D35)</f>
        <v>0.2700420215777915</v>
      </c>
      <c r="H38" s="489"/>
      <c r="J38" s="25" t="s">
        <v>46</v>
      </c>
      <c r="K38" s="26">
        <f>SUM(K26:K37)</f>
        <v>137771.16609999997</v>
      </c>
      <c r="L38" s="329">
        <f>SUM(L26:L37)</f>
        <v>139054.51</v>
      </c>
      <c r="M38" s="333">
        <f>SUM(M26:M37)</f>
        <v>123583.67999999999</v>
      </c>
      <c r="N38" s="26">
        <f>SUM(N26:N37)</f>
        <v>139880.28</v>
      </c>
      <c r="O38" s="422">
        <f>(M38-(L26+L27+L28+L29+L30+L31+L32+L33+L34))/(L26+L27+L28+L29+L30+L31+L32+L33+L34)</f>
        <v>0.19646902086574794</v>
      </c>
    </row>
    <row r="39" spans="2:15" ht="18.75" x14ac:dyDescent="0.3">
      <c r="B39" s="27"/>
      <c r="C39" s="27"/>
      <c r="D39" s="27"/>
      <c r="E39" s="27"/>
      <c r="F39" s="27"/>
    </row>
    <row r="40" spans="2:15" ht="18.75" customHeight="1" x14ac:dyDescent="0.3">
      <c r="B40" s="589"/>
      <c r="C40" s="490"/>
      <c r="D40" s="490"/>
      <c r="E40" s="490"/>
      <c r="F40" s="590"/>
      <c r="G40" s="591"/>
      <c r="H40" s="487"/>
    </row>
    <row r="41" spans="2:15" ht="18" x14ac:dyDescent="0.25">
      <c r="B41" s="589"/>
      <c r="C41" s="491"/>
      <c r="D41" s="491"/>
      <c r="E41" s="491"/>
      <c r="F41" s="590"/>
      <c r="G41" s="591"/>
      <c r="H41" s="487"/>
    </row>
    <row r="42" spans="2:15" ht="18" x14ac:dyDescent="0.25">
      <c r="B42" s="492"/>
      <c r="C42" s="493"/>
      <c r="D42" s="493"/>
      <c r="E42" s="493"/>
      <c r="F42" s="494"/>
      <c r="G42" s="488"/>
      <c r="H42" s="488"/>
    </row>
    <row r="43" spans="2:15" ht="18" x14ac:dyDescent="0.25">
      <c r="B43" s="492"/>
      <c r="C43" s="493"/>
      <c r="D43" s="493"/>
      <c r="E43" s="493"/>
      <c r="F43" s="494"/>
      <c r="G43" s="488"/>
      <c r="H43" s="488"/>
    </row>
    <row r="44" spans="2:15" ht="18" x14ac:dyDescent="0.25">
      <c r="B44" s="492"/>
      <c r="C44" s="493"/>
      <c r="D44" s="493"/>
      <c r="E44" s="493"/>
      <c r="F44" s="494"/>
      <c r="G44" s="488"/>
      <c r="H44" s="488"/>
    </row>
    <row r="45" spans="2:15" ht="18" x14ac:dyDescent="0.25">
      <c r="B45" s="492"/>
      <c r="C45" s="493"/>
      <c r="D45" s="493"/>
      <c r="E45" s="493"/>
      <c r="F45" s="494"/>
      <c r="G45" s="488"/>
      <c r="H45" s="488"/>
    </row>
    <row r="46" spans="2:15" ht="18" x14ac:dyDescent="0.25">
      <c r="B46" s="492"/>
      <c r="C46" s="493"/>
      <c r="D46" s="493"/>
      <c r="E46" s="493"/>
      <c r="F46" s="494"/>
      <c r="G46" s="488"/>
      <c r="H46" s="488"/>
    </row>
    <row r="47" spans="2:15" ht="18" x14ac:dyDescent="0.25">
      <c r="B47" s="492"/>
      <c r="C47" s="493"/>
      <c r="D47" s="493"/>
      <c r="E47" s="493"/>
      <c r="F47" s="494"/>
      <c r="G47" s="488"/>
      <c r="H47" s="488"/>
    </row>
    <row r="48" spans="2:15" ht="18" x14ac:dyDescent="0.25">
      <c r="B48" s="492"/>
      <c r="C48" s="493"/>
      <c r="D48" s="493"/>
      <c r="E48" s="493"/>
      <c r="F48" s="494"/>
      <c r="G48" s="488"/>
      <c r="H48" s="488"/>
    </row>
    <row r="49" spans="2:8" ht="18" x14ac:dyDescent="0.25">
      <c r="B49" s="492"/>
      <c r="C49" s="493"/>
      <c r="D49" s="493"/>
      <c r="E49" s="493"/>
      <c r="F49" s="494"/>
      <c r="G49" s="488"/>
      <c r="H49" s="488"/>
    </row>
    <row r="50" spans="2:8" ht="18" x14ac:dyDescent="0.25">
      <c r="B50" s="492"/>
      <c r="C50" s="493"/>
      <c r="D50" s="493"/>
      <c r="E50" s="493"/>
      <c r="F50" s="494"/>
      <c r="G50" s="488"/>
      <c r="H50" s="488"/>
    </row>
    <row r="51" spans="2:8" ht="18" x14ac:dyDescent="0.25">
      <c r="B51" s="492"/>
      <c r="C51" s="493"/>
      <c r="D51" s="493"/>
      <c r="E51" s="493"/>
      <c r="F51" s="494"/>
      <c r="G51" s="488"/>
      <c r="H51" s="488"/>
    </row>
    <row r="52" spans="2:8" ht="18" x14ac:dyDescent="0.25">
      <c r="B52" s="492"/>
      <c r="C52" s="493"/>
      <c r="D52" s="493"/>
      <c r="E52" s="493"/>
      <c r="F52" s="494"/>
      <c r="G52" s="488"/>
      <c r="H52" s="488"/>
    </row>
    <row r="53" spans="2:8" ht="18" x14ac:dyDescent="0.25">
      <c r="B53" s="492"/>
      <c r="C53" s="493"/>
      <c r="D53" s="493"/>
      <c r="E53" s="493"/>
      <c r="F53" s="494"/>
      <c r="G53" s="488"/>
      <c r="H53" s="488"/>
    </row>
    <row r="54" spans="2:8" ht="18" x14ac:dyDescent="0.25">
      <c r="B54" s="495"/>
      <c r="C54" s="496"/>
      <c r="D54" s="496"/>
      <c r="E54" s="496"/>
      <c r="F54" s="496"/>
      <c r="G54" s="489"/>
      <c r="H54" s="489"/>
    </row>
  </sheetData>
  <mergeCells count="13">
    <mergeCell ref="B1:G1"/>
    <mergeCell ref="B2:G2"/>
    <mergeCell ref="B40:B41"/>
    <mergeCell ref="F40:F41"/>
    <mergeCell ref="G40:G41"/>
    <mergeCell ref="G24:G25"/>
    <mergeCell ref="F24:F25"/>
    <mergeCell ref="B24:B25"/>
    <mergeCell ref="J24:J25"/>
    <mergeCell ref="N24:N25"/>
    <mergeCell ref="O24:O25"/>
    <mergeCell ref="I1:P1"/>
    <mergeCell ref="I2:P2"/>
  </mergeCells>
  <pageMargins left="1.45" right="0.7" top="0.75" bottom="0.75" header="0.3" footer="0.3"/>
  <pageSetup scale="5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1"/>
  <sheetViews>
    <sheetView zoomScaleNormal="100" zoomScaleSheetLayoutView="70" workbookViewId="0">
      <selection activeCell="E49" sqref="E49"/>
    </sheetView>
  </sheetViews>
  <sheetFormatPr defaultRowHeight="15" x14ac:dyDescent="0.25"/>
  <cols>
    <col min="2" max="2" width="10.42578125" bestFit="1" customWidth="1"/>
    <col min="3" max="5" width="11" bestFit="1" customWidth="1"/>
    <col min="6" max="6" width="15.7109375" bestFit="1" customWidth="1"/>
    <col min="7" max="7" width="11.42578125" customWidth="1"/>
    <col min="8" max="8" width="12.7109375" bestFit="1" customWidth="1"/>
    <col min="9" max="9" width="15.7109375" customWidth="1"/>
  </cols>
  <sheetData>
    <row r="1" spans="3:7" ht="23.25" x14ac:dyDescent="0.35">
      <c r="C1" s="501" t="s">
        <v>108</v>
      </c>
      <c r="D1" s="501"/>
      <c r="E1" s="501"/>
      <c r="F1" s="501"/>
      <c r="G1" s="501"/>
    </row>
    <row r="2" spans="3:7" ht="23.25" x14ac:dyDescent="0.35">
      <c r="C2" s="502" t="s">
        <v>213</v>
      </c>
      <c r="D2" s="502"/>
      <c r="E2" s="502"/>
      <c r="F2" s="502"/>
      <c r="G2" s="502"/>
    </row>
    <row r="26" spans="2:9" ht="15.75" thickBot="1" x14ac:dyDescent="0.3"/>
    <row r="27" spans="2:9" ht="16.5" thickBot="1" x14ac:dyDescent="0.3">
      <c r="B27" s="503" t="s">
        <v>29</v>
      </c>
      <c r="C27" s="505"/>
      <c r="D27" s="505"/>
      <c r="E27" s="505"/>
      <c r="F27" s="505"/>
      <c r="G27" s="503" t="s">
        <v>29</v>
      </c>
      <c r="H27" s="504"/>
      <c r="I27" s="170"/>
    </row>
    <row r="28" spans="2:9" ht="16.5" thickBot="1" x14ac:dyDescent="0.3">
      <c r="B28" s="166" t="s">
        <v>30</v>
      </c>
      <c r="C28" s="168">
        <v>2019</v>
      </c>
      <c r="D28" s="169">
        <v>2020</v>
      </c>
      <c r="E28" s="169">
        <v>2021</v>
      </c>
      <c r="F28" s="311" t="s">
        <v>81</v>
      </c>
      <c r="G28" s="168">
        <v>2022</v>
      </c>
      <c r="H28" s="174" t="s">
        <v>81</v>
      </c>
      <c r="I28" s="171"/>
    </row>
    <row r="29" spans="2:9" ht="15.75" x14ac:dyDescent="0.25">
      <c r="B29" s="152" t="s">
        <v>16</v>
      </c>
      <c r="C29" s="138">
        <v>24194</v>
      </c>
      <c r="D29" s="138">
        <v>26153</v>
      </c>
      <c r="E29" s="313">
        <v>12796</v>
      </c>
      <c r="F29" s="312">
        <v>-0.5107253469965205</v>
      </c>
      <c r="G29" s="313">
        <v>19675</v>
      </c>
      <c r="H29" s="139">
        <f t="shared" ref="H29:H40" si="0">(G29-E29)/E29</f>
        <v>0.53758987183494844</v>
      </c>
      <c r="I29" s="172"/>
    </row>
    <row r="30" spans="2:9" ht="15.75" x14ac:dyDescent="0.25">
      <c r="B30" s="156" t="s">
        <v>17</v>
      </c>
      <c r="C30" s="140">
        <v>25431</v>
      </c>
      <c r="D30" s="140">
        <v>27225</v>
      </c>
      <c r="E30" s="184">
        <v>13611</v>
      </c>
      <c r="F30" s="183">
        <v>-0.5000550964187328</v>
      </c>
      <c r="G30" s="184">
        <v>21911</v>
      </c>
      <c r="H30" s="182">
        <f t="shared" si="0"/>
        <v>0.6098008963338476</v>
      </c>
      <c r="I30" s="172"/>
    </row>
    <row r="31" spans="2:9" ht="15.75" x14ac:dyDescent="0.25">
      <c r="B31" s="156" t="s">
        <v>18</v>
      </c>
      <c r="C31" s="140">
        <v>31422</v>
      </c>
      <c r="D31" s="140">
        <v>19688</v>
      </c>
      <c r="E31" s="184">
        <v>20410</v>
      </c>
      <c r="F31" s="183">
        <v>3.6672084518488419E-2</v>
      </c>
      <c r="G31" s="184">
        <v>26663</v>
      </c>
      <c r="H31" s="418">
        <f t="shared" si="0"/>
        <v>0.30636942675159234</v>
      </c>
      <c r="I31" s="172"/>
    </row>
    <row r="32" spans="2:9" ht="15.75" x14ac:dyDescent="0.25">
      <c r="B32" s="156" t="s">
        <v>19</v>
      </c>
      <c r="C32" s="140">
        <v>27248</v>
      </c>
      <c r="D32" s="140">
        <v>1975</v>
      </c>
      <c r="E32" s="184">
        <v>19675</v>
      </c>
      <c r="F32" s="183">
        <v>8.962025316455696</v>
      </c>
      <c r="G32" s="184">
        <v>20950</v>
      </c>
      <c r="H32" s="141">
        <f t="shared" si="0"/>
        <v>6.480304955527319E-2</v>
      </c>
      <c r="I32" s="172"/>
    </row>
    <row r="33" spans="2:10" ht="15.75" x14ac:dyDescent="0.25">
      <c r="B33" s="156" t="s">
        <v>20</v>
      </c>
      <c r="C33" s="140">
        <v>27122</v>
      </c>
      <c r="D33" s="140">
        <v>4577</v>
      </c>
      <c r="E33" s="184">
        <v>23183</v>
      </c>
      <c r="F33" s="183">
        <v>4.0651081494428665</v>
      </c>
      <c r="G33" s="184">
        <v>26005</v>
      </c>
      <c r="H33" s="141">
        <f t="shared" si="0"/>
        <v>0.12172712763663029</v>
      </c>
      <c r="I33" s="172"/>
      <c r="J33" s="65"/>
    </row>
    <row r="34" spans="2:10" ht="15.75" x14ac:dyDescent="0.25">
      <c r="B34" s="156" t="s">
        <v>21</v>
      </c>
      <c r="C34" s="140">
        <v>29319</v>
      </c>
      <c r="D34" s="140">
        <v>8488</v>
      </c>
      <c r="E34" s="184">
        <v>25642</v>
      </c>
      <c r="F34" s="183">
        <v>2.0209707822808669</v>
      </c>
      <c r="G34" s="184">
        <v>23730</v>
      </c>
      <c r="H34" s="141">
        <f t="shared" si="0"/>
        <v>-7.4565166523672094E-2</v>
      </c>
      <c r="I34" s="172"/>
    </row>
    <row r="35" spans="2:10" ht="15.75" x14ac:dyDescent="0.25">
      <c r="B35" s="156" t="s">
        <v>22</v>
      </c>
      <c r="C35" s="140">
        <v>32774</v>
      </c>
      <c r="D35" s="140">
        <v>13223</v>
      </c>
      <c r="E35" s="184">
        <v>27501</v>
      </c>
      <c r="F35" s="183">
        <v>1.0797852227179914</v>
      </c>
      <c r="G35" s="184">
        <v>23839</v>
      </c>
      <c r="H35" s="141">
        <f t="shared" si="0"/>
        <v>-0.13315879422566451</v>
      </c>
      <c r="I35" s="172"/>
    </row>
    <row r="36" spans="2:10" ht="15.75" x14ac:dyDescent="0.25">
      <c r="B36" s="156" t="s">
        <v>23</v>
      </c>
      <c r="C36" s="140">
        <v>29869</v>
      </c>
      <c r="D36" s="140">
        <v>15790</v>
      </c>
      <c r="E36" s="184">
        <v>23055</v>
      </c>
      <c r="F36" s="183">
        <v>0.46010132995566816</v>
      </c>
      <c r="G36" s="184">
        <v>23836</v>
      </c>
      <c r="H36" s="182">
        <f t="shared" si="0"/>
        <v>3.3875515072652351E-2</v>
      </c>
      <c r="I36" s="172"/>
    </row>
    <row r="37" spans="2:10" ht="15.75" x14ac:dyDescent="0.25">
      <c r="B37" s="156" t="s">
        <v>24</v>
      </c>
      <c r="C37" s="140">
        <v>26067</v>
      </c>
      <c r="D37" s="140">
        <v>13922</v>
      </c>
      <c r="E37" s="184">
        <v>20535</v>
      </c>
      <c r="F37" s="183">
        <v>0.4750035914380118</v>
      </c>
      <c r="G37" s="184">
        <v>25714</v>
      </c>
      <c r="H37" s="141">
        <f t="shared" si="0"/>
        <v>0.25220355490625762</v>
      </c>
      <c r="I37" s="172"/>
    </row>
    <row r="38" spans="2:10" ht="15.75" x14ac:dyDescent="0.25">
      <c r="B38" s="156" t="s">
        <v>25</v>
      </c>
      <c r="C38" s="140">
        <v>28923</v>
      </c>
      <c r="D38" s="140">
        <v>15711</v>
      </c>
      <c r="E38" s="184">
        <v>23951</v>
      </c>
      <c r="F38" s="183">
        <v>0.52447329896251038</v>
      </c>
      <c r="G38" s="184">
        <v>26102</v>
      </c>
      <c r="H38" s="141">
        <f t="shared" si="0"/>
        <v>8.9808358732412011E-2</v>
      </c>
      <c r="I38" s="172"/>
    </row>
    <row r="39" spans="2:10" ht="15.75" x14ac:dyDescent="0.25">
      <c r="B39" s="156" t="s">
        <v>26</v>
      </c>
      <c r="C39" s="140">
        <v>27238</v>
      </c>
      <c r="D39" s="140">
        <v>14033</v>
      </c>
      <c r="E39" s="184">
        <v>23841</v>
      </c>
      <c r="F39" s="183">
        <v>0.69892396493978481</v>
      </c>
      <c r="G39" s="184"/>
      <c r="H39" s="182">
        <f t="shared" si="0"/>
        <v>-1</v>
      </c>
      <c r="I39" s="172"/>
    </row>
    <row r="40" spans="2:10" ht="16.5" thickBot="1" x14ac:dyDescent="0.3">
      <c r="B40" s="167" t="s">
        <v>27</v>
      </c>
      <c r="C40" s="142">
        <v>31547</v>
      </c>
      <c r="D40" s="142">
        <v>15651</v>
      </c>
      <c r="E40" s="186">
        <v>25783</v>
      </c>
      <c r="F40" s="185">
        <v>0.64737077503034945</v>
      </c>
      <c r="G40" s="186"/>
      <c r="H40" s="141">
        <f t="shared" si="0"/>
        <v>-1</v>
      </c>
      <c r="I40" s="172"/>
    </row>
    <row r="41" spans="2:10" ht="16.5" thickBot="1" x14ac:dyDescent="0.3">
      <c r="B41" s="144" t="s">
        <v>31</v>
      </c>
      <c r="C41" s="145">
        <f>SUM(C29:C40)</f>
        <v>341154</v>
      </c>
      <c r="D41" s="145">
        <f>SUM(D29:D40)</f>
        <v>176436</v>
      </c>
      <c r="E41" s="231">
        <f>SUM(E29:E40)</f>
        <v>259983</v>
      </c>
      <c r="F41" s="188">
        <f>(E41-D41)/D41</f>
        <v>0.47352581105896757</v>
      </c>
      <c r="G41" s="231">
        <f>SUM(G29:G40)</f>
        <v>238425</v>
      </c>
      <c r="H41" s="146">
        <f>(G41-(E29+E30+E31+E32+E33+E34+E35+E36+E37+E38))/(E29+E30+E31+E32+E33+E34+E35+E36+E37+E38)</f>
        <v>0.13341953517558081</v>
      </c>
      <c r="I41" s="173"/>
    </row>
  </sheetData>
  <mergeCells count="4">
    <mergeCell ref="C1:G1"/>
    <mergeCell ref="C2:G2"/>
    <mergeCell ref="G27:H27"/>
    <mergeCell ref="B27:F27"/>
  </mergeCells>
  <pageMargins left="1" right="1" top="1" bottom="1" header="0.5" footer="0.5"/>
  <pageSetup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34"/>
  <sheetViews>
    <sheetView topLeftCell="F1" zoomScale="80" zoomScaleNormal="80" zoomScaleSheetLayoutView="100" workbookViewId="0">
      <selection activeCell="T14" sqref="T14"/>
    </sheetView>
  </sheetViews>
  <sheetFormatPr defaultRowHeight="15" x14ac:dyDescent="0.25"/>
  <cols>
    <col min="2" max="7" width="10.7109375" bestFit="1" customWidth="1"/>
    <col min="8" max="8" width="12.7109375" bestFit="1" customWidth="1"/>
    <col min="9" max="9" width="11.7109375" bestFit="1" customWidth="1"/>
    <col min="10" max="12" width="10.7109375" bestFit="1" customWidth="1"/>
    <col min="13" max="14" width="12.28515625" bestFit="1" customWidth="1"/>
    <col min="15" max="15" width="10.7109375" bestFit="1" customWidth="1"/>
    <col min="16" max="17" width="12.42578125" bestFit="1" customWidth="1"/>
    <col min="18" max="18" width="13" customWidth="1"/>
    <col min="19" max="19" width="12.85546875" customWidth="1"/>
    <col min="20" max="20" width="11.5703125" customWidth="1"/>
    <col min="21" max="21" width="11.5703125" style="10" customWidth="1"/>
    <col min="22" max="22" width="13.42578125" bestFit="1" customWidth="1"/>
  </cols>
  <sheetData>
    <row r="1" spans="1:22" ht="21.75" thickBot="1" x14ac:dyDescent="0.4">
      <c r="A1" s="598" t="s">
        <v>88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  <c r="S1" s="600"/>
      <c r="T1" s="106"/>
      <c r="U1" s="106"/>
      <c r="V1" s="106"/>
    </row>
    <row r="2" spans="1:22" ht="21" thickBot="1" x14ac:dyDescent="0.35">
      <c r="A2" s="605" t="s">
        <v>137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7"/>
      <c r="T2" s="67"/>
      <c r="U2" s="67"/>
      <c r="V2" s="67"/>
    </row>
    <row r="3" spans="1:22" ht="21.75" thickBot="1" x14ac:dyDescent="0.4">
      <c r="A3" s="38"/>
      <c r="B3" s="602" t="s">
        <v>128</v>
      </c>
      <c r="C3" s="603"/>
      <c r="D3" s="603"/>
      <c r="E3" s="603"/>
      <c r="F3" s="603"/>
      <c r="G3" s="604"/>
      <c r="H3" s="602" t="s">
        <v>90</v>
      </c>
      <c r="I3" s="603"/>
      <c r="J3" s="603"/>
      <c r="K3" s="603"/>
      <c r="L3" s="603"/>
      <c r="M3" s="604"/>
      <c r="N3" s="602" t="s">
        <v>91</v>
      </c>
      <c r="O3" s="603"/>
      <c r="P3" s="603"/>
      <c r="Q3" s="603"/>
      <c r="R3" s="603"/>
      <c r="S3" s="604"/>
      <c r="T3" s="10"/>
      <c r="V3" s="10"/>
    </row>
    <row r="4" spans="1:22" ht="48" thickBot="1" x14ac:dyDescent="0.3">
      <c r="A4" s="68" t="s">
        <v>30</v>
      </c>
      <c r="B4" s="69" t="s">
        <v>138</v>
      </c>
      <c r="C4" s="39" t="s">
        <v>130</v>
      </c>
      <c r="D4" s="39" t="s">
        <v>139</v>
      </c>
      <c r="E4" s="39" t="s">
        <v>140</v>
      </c>
      <c r="F4" s="39" t="s">
        <v>141</v>
      </c>
      <c r="G4" s="39" t="s">
        <v>142</v>
      </c>
      <c r="H4" s="69" t="s">
        <v>143</v>
      </c>
      <c r="I4" s="39" t="s">
        <v>144</v>
      </c>
      <c r="J4" s="39" t="s">
        <v>145</v>
      </c>
      <c r="K4" s="39" t="s">
        <v>146</v>
      </c>
      <c r="L4" s="39" t="s">
        <v>147</v>
      </c>
      <c r="M4" s="39" t="s">
        <v>148</v>
      </c>
      <c r="N4" s="69" t="s">
        <v>149</v>
      </c>
      <c r="O4" s="39" t="s">
        <v>150</v>
      </c>
      <c r="P4" s="39" t="s">
        <v>151</v>
      </c>
      <c r="Q4" s="39" t="s">
        <v>152</v>
      </c>
      <c r="R4" s="39" t="s">
        <v>153</v>
      </c>
      <c r="S4" s="40" t="s">
        <v>154</v>
      </c>
      <c r="U4"/>
    </row>
    <row r="5" spans="1:22" ht="17.25" thickTop="1" thickBot="1" x14ac:dyDescent="0.3">
      <c r="A5" s="70" t="s">
        <v>16</v>
      </c>
      <c r="B5" s="381"/>
      <c r="C5" s="382">
        <v>1768.9</v>
      </c>
      <c r="D5" s="382">
        <v>2446.3000000000002</v>
      </c>
      <c r="E5" s="382">
        <v>2416.3000000000002</v>
      </c>
      <c r="F5" s="382">
        <v>2055.6999999999998</v>
      </c>
      <c r="G5" s="383">
        <v>2668.2</v>
      </c>
      <c r="H5" s="381"/>
      <c r="I5" s="382">
        <v>42347</v>
      </c>
      <c r="J5" s="382">
        <v>42940</v>
      </c>
      <c r="K5" s="382">
        <v>34217</v>
      </c>
      <c r="L5" s="382">
        <v>20964</v>
      </c>
      <c r="M5" s="383">
        <v>26038</v>
      </c>
      <c r="N5" s="381"/>
      <c r="O5" s="392">
        <v>133442</v>
      </c>
      <c r="P5" s="393">
        <v>139790</v>
      </c>
      <c r="Q5" s="393">
        <v>152110</v>
      </c>
      <c r="R5" s="382">
        <v>89126</v>
      </c>
      <c r="S5" s="383">
        <v>111445</v>
      </c>
      <c r="U5"/>
    </row>
    <row r="6" spans="1:22" ht="17.25" thickTop="1" thickBot="1" x14ac:dyDescent="0.3">
      <c r="A6" s="73" t="s">
        <v>17</v>
      </c>
      <c r="B6" s="384"/>
      <c r="C6" s="385">
        <v>2298.1999999999998</v>
      </c>
      <c r="D6" s="385">
        <v>1984.8</v>
      </c>
      <c r="E6" s="385">
        <v>3412.2</v>
      </c>
      <c r="F6" s="385">
        <v>1702.9</v>
      </c>
      <c r="G6" s="383">
        <v>2950</v>
      </c>
      <c r="H6" s="384"/>
      <c r="I6" s="385">
        <v>44019</v>
      </c>
      <c r="J6" s="385">
        <v>33090</v>
      </c>
      <c r="K6" s="385">
        <v>34662</v>
      </c>
      <c r="L6" s="385">
        <v>20930</v>
      </c>
      <c r="M6" s="383">
        <v>28860</v>
      </c>
      <c r="N6" s="384"/>
      <c r="O6" s="394">
        <v>145587</v>
      </c>
      <c r="P6" s="395">
        <v>159771</v>
      </c>
      <c r="Q6" s="395">
        <v>147907</v>
      </c>
      <c r="R6" s="385">
        <v>88131</v>
      </c>
      <c r="S6" s="383">
        <v>125815</v>
      </c>
      <c r="U6"/>
    </row>
    <row r="7" spans="1:22" ht="17.25" thickTop="1" thickBot="1" x14ac:dyDescent="0.3">
      <c r="A7" s="73" t="s">
        <v>18</v>
      </c>
      <c r="B7" s="384"/>
      <c r="C7" s="385">
        <v>2302.1999999999998</v>
      </c>
      <c r="D7" s="386">
        <v>4642.3999999999996</v>
      </c>
      <c r="E7" s="385">
        <v>3445.6</v>
      </c>
      <c r="F7" s="385">
        <v>3074</v>
      </c>
      <c r="G7" s="383">
        <v>4367</v>
      </c>
      <c r="H7" s="384"/>
      <c r="I7" s="385">
        <v>49319</v>
      </c>
      <c r="J7" s="386">
        <v>51620</v>
      </c>
      <c r="K7" s="385">
        <v>35220</v>
      </c>
      <c r="L7" s="385">
        <v>27018</v>
      </c>
      <c r="M7" s="383">
        <v>35109</v>
      </c>
      <c r="N7" s="384"/>
      <c r="O7" s="394">
        <v>166144</v>
      </c>
      <c r="P7" s="395">
        <v>182979</v>
      </c>
      <c r="Q7" s="395">
        <v>157782</v>
      </c>
      <c r="R7" s="385">
        <v>131381</v>
      </c>
      <c r="S7" s="383">
        <v>160406</v>
      </c>
      <c r="U7"/>
    </row>
    <row r="8" spans="1:22" ht="17.25" thickTop="1" thickBot="1" x14ac:dyDescent="0.3">
      <c r="A8" s="73" t="s">
        <v>19</v>
      </c>
      <c r="B8" s="384"/>
      <c r="C8" s="385">
        <v>4248.3</v>
      </c>
      <c r="D8" s="385">
        <v>4332</v>
      </c>
      <c r="E8" s="385">
        <v>3443.7</v>
      </c>
      <c r="F8" s="385">
        <v>6697</v>
      </c>
      <c r="G8" s="383">
        <v>3418</v>
      </c>
      <c r="H8" s="384"/>
      <c r="I8" s="385">
        <v>44979</v>
      </c>
      <c r="J8" s="385">
        <v>51585</v>
      </c>
      <c r="K8" s="385">
        <v>24320</v>
      </c>
      <c r="L8" s="385">
        <v>30033</v>
      </c>
      <c r="M8" s="383">
        <v>19466</v>
      </c>
      <c r="N8" s="384"/>
      <c r="O8" s="394">
        <v>177406</v>
      </c>
      <c r="P8" s="395">
        <v>163066</v>
      </c>
      <c r="Q8" s="395">
        <v>51460</v>
      </c>
      <c r="R8" s="385">
        <v>130152</v>
      </c>
      <c r="S8" s="383">
        <v>139637</v>
      </c>
      <c r="U8"/>
    </row>
    <row r="9" spans="1:22" ht="17.25" thickTop="1" thickBot="1" x14ac:dyDescent="0.3">
      <c r="A9" s="73" t="s">
        <v>20</v>
      </c>
      <c r="B9" s="384"/>
      <c r="C9" s="385">
        <v>6935.7</v>
      </c>
      <c r="D9" s="385">
        <v>7815.9</v>
      </c>
      <c r="E9" s="385">
        <v>5102.5</v>
      </c>
      <c r="F9" s="385">
        <v>5414</v>
      </c>
      <c r="G9" s="383">
        <v>5223</v>
      </c>
      <c r="H9" s="384"/>
      <c r="I9" s="385">
        <v>55166</v>
      </c>
      <c r="J9" s="385">
        <v>67742</v>
      </c>
      <c r="K9" s="385">
        <v>21579</v>
      </c>
      <c r="L9" s="385">
        <v>32558</v>
      </c>
      <c r="M9" s="383">
        <v>44438</v>
      </c>
      <c r="N9" s="384"/>
      <c r="O9" s="394">
        <v>166620</v>
      </c>
      <c r="P9" s="395">
        <v>172763</v>
      </c>
      <c r="Q9" s="395">
        <v>40310</v>
      </c>
      <c r="R9" s="385">
        <v>137355</v>
      </c>
      <c r="S9" s="383">
        <v>159323</v>
      </c>
      <c r="U9"/>
    </row>
    <row r="10" spans="1:22" ht="17.25" thickTop="1" thickBot="1" x14ac:dyDescent="0.3">
      <c r="A10" s="73" t="s">
        <v>105</v>
      </c>
      <c r="B10" s="384"/>
      <c r="C10" s="385">
        <v>9250.5</v>
      </c>
      <c r="D10" s="385">
        <v>8109.4</v>
      </c>
      <c r="E10" s="385">
        <v>4868.8999999999996</v>
      </c>
      <c r="F10" s="385">
        <v>7612</v>
      </c>
      <c r="G10" s="383">
        <v>5194</v>
      </c>
      <c r="H10" s="384"/>
      <c r="I10" s="385">
        <v>77304</v>
      </c>
      <c r="J10" s="385">
        <v>78710</v>
      </c>
      <c r="K10" s="385">
        <v>24055</v>
      </c>
      <c r="L10" s="385">
        <v>35514</v>
      </c>
      <c r="M10" s="383">
        <v>39939</v>
      </c>
      <c r="N10" s="384"/>
      <c r="O10" s="394">
        <v>172986</v>
      </c>
      <c r="P10" s="395">
        <v>183497</v>
      </c>
      <c r="Q10" s="395">
        <v>58562</v>
      </c>
      <c r="R10" s="385">
        <v>151874</v>
      </c>
      <c r="S10" s="383">
        <v>156240</v>
      </c>
      <c r="U10"/>
    </row>
    <row r="11" spans="1:22" ht="17.25" thickTop="1" thickBot="1" x14ac:dyDescent="0.3">
      <c r="A11" s="73" t="s">
        <v>106</v>
      </c>
      <c r="B11" s="384"/>
      <c r="C11" s="385">
        <v>8570</v>
      </c>
      <c r="D11" s="385">
        <v>11350.8</v>
      </c>
      <c r="E11" s="385">
        <v>9499.4</v>
      </c>
      <c r="F11" s="385">
        <v>7965</v>
      </c>
      <c r="G11" s="383">
        <v>7786.5</v>
      </c>
      <c r="H11" s="384"/>
      <c r="I11" s="385">
        <v>80401</v>
      </c>
      <c r="J11" s="385">
        <v>96384</v>
      </c>
      <c r="K11" s="385">
        <v>75767</v>
      </c>
      <c r="L11" s="386">
        <v>45065</v>
      </c>
      <c r="M11" s="383">
        <v>106710</v>
      </c>
      <c r="N11" s="384"/>
      <c r="O11" s="394">
        <v>195147</v>
      </c>
      <c r="P11" s="395">
        <v>200958</v>
      </c>
      <c r="Q11" s="395">
        <v>94078</v>
      </c>
      <c r="R11" s="385">
        <v>178543</v>
      </c>
      <c r="S11" s="383">
        <v>150548</v>
      </c>
      <c r="U11"/>
    </row>
    <row r="12" spans="1:22" ht="17.25" thickTop="1" thickBot="1" x14ac:dyDescent="0.3">
      <c r="A12" s="73" t="s">
        <v>23</v>
      </c>
      <c r="B12" s="384"/>
      <c r="C12" s="385">
        <v>5309.3</v>
      </c>
      <c r="D12" s="385">
        <v>7762.5</v>
      </c>
      <c r="E12" s="385">
        <v>7318.3</v>
      </c>
      <c r="F12" s="385">
        <v>5635</v>
      </c>
      <c r="G12" s="383">
        <v>4530.6000000000004</v>
      </c>
      <c r="H12" s="384"/>
      <c r="I12" s="385">
        <v>74824</v>
      </c>
      <c r="J12" s="385">
        <v>59139</v>
      </c>
      <c r="K12" s="385">
        <v>38436</v>
      </c>
      <c r="L12" s="385">
        <v>53630</v>
      </c>
      <c r="M12" s="383">
        <v>59974</v>
      </c>
      <c r="N12" s="384"/>
      <c r="O12" s="394">
        <v>174948</v>
      </c>
      <c r="P12" s="395">
        <v>180967</v>
      </c>
      <c r="Q12" s="395">
        <v>130934</v>
      </c>
      <c r="R12" s="385">
        <v>162642</v>
      </c>
      <c r="S12" s="383">
        <v>156216</v>
      </c>
      <c r="U12"/>
    </row>
    <row r="13" spans="1:22" ht="17.25" thickTop="1" thickBot="1" x14ac:dyDescent="0.3">
      <c r="A13" s="73" t="s">
        <v>107</v>
      </c>
      <c r="B13" s="384"/>
      <c r="C13" s="385">
        <v>3839.7</v>
      </c>
      <c r="D13" s="385">
        <v>5795.5</v>
      </c>
      <c r="E13" s="385">
        <v>5500.8</v>
      </c>
      <c r="F13" s="385">
        <v>4917.7700000000004</v>
      </c>
      <c r="G13" s="383">
        <v>3880</v>
      </c>
      <c r="H13" s="384"/>
      <c r="I13" s="385">
        <v>75119</v>
      </c>
      <c r="J13" s="385">
        <v>56349</v>
      </c>
      <c r="K13" s="385">
        <v>28500</v>
      </c>
      <c r="L13" s="385">
        <v>43991</v>
      </c>
      <c r="M13" s="383">
        <v>49253</v>
      </c>
      <c r="N13" s="384"/>
      <c r="O13" s="394">
        <v>130232</v>
      </c>
      <c r="P13" s="395">
        <v>162493</v>
      </c>
      <c r="Q13" s="395">
        <v>114865</v>
      </c>
      <c r="R13" s="385">
        <v>133539</v>
      </c>
      <c r="S13" s="383">
        <v>170481</v>
      </c>
      <c r="U13"/>
    </row>
    <row r="14" spans="1:22" ht="17.25" thickTop="1" thickBot="1" x14ac:dyDescent="0.3">
      <c r="A14" s="73" t="s">
        <v>25</v>
      </c>
      <c r="B14" s="384"/>
      <c r="C14" s="385">
        <v>6119.9</v>
      </c>
      <c r="D14" s="385">
        <v>3819.8</v>
      </c>
      <c r="E14" s="385">
        <v>4960.2</v>
      </c>
      <c r="F14" s="385">
        <v>8601</v>
      </c>
      <c r="G14" s="383">
        <v>4283</v>
      </c>
      <c r="H14" s="384"/>
      <c r="I14" s="385">
        <v>55760</v>
      </c>
      <c r="J14" s="385">
        <v>59101</v>
      </c>
      <c r="K14" s="385">
        <v>30152</v>
      </c>
      <c r="L14" s="385">
        <v>44575</v>
      </c>
      <c r="M14" s="383">
        <v>43069</v>
      </c>
      <c r="N14" s="384"/>
      <c r="O14" s="394">
        <v>148044</v>
      </c>
      <c r="P14" s="395">
        <v>171169</v>
      </c>
      <c r="Q14" s="395">
        <v>138004</v>
      </c>
      <c r="R14" s="385">
        <v>148511</v>
      </c>
      <c r="S14" s="383">
        <v>148359</v>
      </c>
      <c r="U14"/>
    </row>
    <row r="15" spans="1:22" ht="17.25" thickTop="1" thickBot="1" x14ac:dyDescent="0.3">
      <c r="A15" s="73" t="s">
        <v>26</v>
      </c>
      <c r="B15" s="384"/>
      <c r="C15" s="385">
        <v>2187.8000000000002</v>
      </c>
      <c r="D15" s="385">
        <v>2919.5</v>
      </c>
      <c r="E15" s="385">
        <v>3601.8</v>
      </c>
      <c r="F15" s="385">
        <v>3712.1</v>
      </c>
      <c r="G15" s="383">
        <v>0</v>
      </c>
      <c r="H15" s="384"/>
      <c r="I15" s="385">
        <v>48289</v>
      </c>
      <c r="J15" s="385">
        <v>42612</v>
      </c>
      <c r="K15" s="385">
        <v>29077</v>
      </c>
      <c r="L15" s="385">
        <v>33863</v>
      </c>
      <c r="M15" s="383">
        <v>0</v>
      </c>
      <c r="N15" s="384"/>
      <c r="O15" s="394">
        <v>125841</v>
      </c>
      <c r="P15" s="395">
        <v>164241</v>
      </c>
      <c r="Q15" s="395">
        <v>128514</v>
      </c>
      <c r="R15" s="385">
        <v>130045</v>
      </c>
      <c r="S15" s="383">
        <v>0</v>
      </c>
      <c r="U15"/>
    </row>
    <row r="16" spans="1:22" ht="17.25" thickTop="1" thickBot="1" x14ac:dyDescent="0.3">
      <c r="A16" s="75" t="s">
        <v>27</v>
      </c>
      <c r="B16" s="387">
        <v>1179.5</v>
      </c>
      <c r="C16" s="388">
        <v>3691.5</v>
      </c>
      <c r="D16" s="388">
        <v>3095.2</v>
      </c>
      <c r="E16" s="388">
        <v>2819.6</v>
      </c>
      <c r="F16" s="388">
        <v>3165</v>
      </c>
      <c r="G16" s="383">
        <v>0</v>
      </c>
      <c r="H16" s="387">
        <v>21230</v>
      </c>
      <c r="I16" s="388">
        <v>30174</v>
      </c>
      <c r="J16" s="388">
        <v>41200</v>
      </c>
      <c r="K16" s="388">
        <v>27151</v>
      </c>
      <c r="L16" s="388">
        <v>33807</v>
      </c>
      <c r="M16" s="383">
        <v>0</v>
      </c>
      <c r="N16" s="387">
        <v>61975</v>
      </c>
      <c r="O16" s="396">
        <v>171504</v>
      </c>
      <c r="P16" s="396">
        <v>179421</v>
      </c>
      <c r="Q16" s="396">
        <v>111215</v>
      </c>
      <c r="R16" s="388">
        <v>152402</v>
      </c>
      <c r="S16" s="383">
        <v>0</v>
      </c>
      <c r="U16"/>
    </row>
    <row r="17" spans="1:21" ht="17.25" thickTop="1" thickBot="1" x14ac:dyDescent="0.3">
      <c r="A17" s="46" t="s">
        <v>58</v>
      </c>
      <c r="B17" s="389">
        <f>SUM(B5:B16)</f>
        <v>1179.5</v>
      </c>
      <c r="C17" s="390">
        <f>SUM(C5:C16)</f>
        <v>56522.000000000007</v>
      </c>
      <c r="D17" s="390">
        <f t="shared" ref="D17:S17" si="0">SUM(D5:D16)</f>
        <v>64074.100000000006</v>
      </c>
      <c r="E17" s="390">
        <f t="shared" si="0"/>
        <v>56389.3</v>
      </c>
      <c r="F17" s="390">
        <f t="shared" si="0"/>
        <v>60551.469999999994</v>
      </c>
      <c r="G17" s="391">
        <f t="shared" si="0"/>
        <v>44300.3</v>
      </c>
      <c r="H17" s="389">
        <f t="shared" si="0"/>
        <v>21230</v>
      </c>
      <c r="I17" s="390">
        <f>SUM(I5:I16)</f>
        <v>677701</v>
      </c>
      <c r="J17" s="390">
        <f t="shared" si="0"/>
        <v>680472</v>
      </c>
      <c r="K17" s="390">
        <f t="shared" si="0"/>
        <v>403136</v>
      </c>
      <c r="L17" s="390">
        <f t="shared" si="0"/>
        <v>421948</v>
      </c>
      <c r="M17" s="391">
        <f t="shared" si="0"/>
        <v>452856</v>
      </c>
      <c r="N17" s="389">
        <f t="shared" si="0"/>
        <v>61975</v>
      </c>
      <c r="O17" s="390">
        <f>SUM(O5:O16)</f>
        <v>1907901</v>
      </c>
      <c r="P17" s="390">
        <f t="shared" si="0"/>
        <v>2061115</v>
      </c>
      <c r="Q17" s="397">
        <f t="shared" si="0"/>
        <v>1325741</v>
      </c>
      <c r="R17" s="390">
        <f t="shared" si="0"/>
        <v>1633701</v>
      </c>
      <c r="S17" s="391">
        <f t="shared" si="0"/>
        <v>1478470</v>
      </c>
      <c r="U17"/>
    </row>
    <row r="18" spans="1:21" ht="20.25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</row>
    <row r="19" spans="1:21" ht="21" thickBot="1" x14ac:dyDescent="0.35">
      <c r="A19" s="601" t="s">
        <v>155</v>
      </c>
      <c r="B19" s="601"/>
      <c r="C19" s="601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  <c r="P19" s="601"/>
      <c r="Q19" s="601"/>
      <c r="R19" s="601"/>
      <c r="S19" s="601"/>
    </row>
    <row r="20" spans="1:21" ht="21.75" thickBot="1" x14ac:dyDescent="0.4">
      <c r="A20" s="38"/>
      <c r="B20" s="602" t="s">
        <v>89</v>
      </c>
      <c r="C20" s="603"/>
      <c r="D20" s="603"/>
      <c r="E20" s="603"/>
      <c r="F20" s="603"/>
      <c r="G20" s="604"/>
      <c r="H20" s="602" t="s">
        <v>90</v>
      </c>
      <c r="I20" s="603"/>
      <c r="J20" s="603"/>
      <c r="K20" s="603"/>
      <c r="L20" s="603"/>
      <c r="M20" s="604"/>
      <c r="N20" s="602" t="s">
        <v>91</v>
      </c>
      <c r="O20" s="603"/>
      <c r="P20" s="603"/>
      <c r="Q20" s="603"/>
      <c r="R20" s="603"/>
      <c r="S20" s="604"/>
      <c r="U20"/>
    </row>
    <row r="21" spans="1:21" ht="48" thickBot="1" x14ac:dyDescent="0.3">
      <c r="A21" s="68" t="s">
        <v>30</v>
      </c>
      <c r="B21" s="69" t="s">
        <v>129</v>
      </c>
      <c r="C21" s="39" t="s">
        <v>92</v>
      </c>
      <c r="D21" s="39" t="s">
        <v>93</v>
      </c>
      <c r="E21" s="39" t="s">
        <v>94</v>
      </c>
      <c r="F21" s="39" t="s">
        <v>95</v>
      </c>
      <c r="G21" s="40" t="s">
        <v>96</v>
      </c>
      <c r="H21" s="69" t="s">
        <v>156</v>
      </c>
      <c r="I21" s="39" t="s">
        <v>157</v>
      </c>
      <c r="J21" s="39" t="s">
        <v>97</v>
      </c>
      <c r="K21" s="39" t="s">
        <v>98</v>
      </c>
      <c r="L21" s="39" t="s">
        <v>99</v>
      </c>
      <c r="M21" s="40" t="s">
        <v>158</v>
      </c>
      <c r="N21" s="69" t="s">
        <v>131</v>
      </c>
      <c r="O21" s="39" t="s">
        <v>100</v>
      </c>
      <c r="P21" s="39" t="s">
        <v>101</v>
      </c>
      <c r="Q21" s="39" t="s">
        <v>102</v>
      </c>
      <c r="R21" s="39" t="s">
        <v>103</v>
      </c>
      <c r="S21" s="40" t="s">
        <v>104</v>
      </c>
      <c r="U21"/>
    </row>
    <row r="22" spans="1:21" ht="16.5" thickTop="1" x14ac:dyDescent="0.25">
      <c r="A22" s="70" t="s">
        <v>16</v>
      </c>
      <c r="B22" s="71">
        <v>5579</v>
      </c>
      <c r="C22" s="41">
        <v>4467</v>
      </c>
      <c r="D22" s="41">
        <v>4806</v>
      </c>
      <c r="E22" s="41">
        <v>3216.8</v>
      </c>
      <c r="F22" s="42">
        <v>2635.5</v>
      </c>
      <c r="G22" s="72">
        <v>2601.5</v>
      </c>
      <c r="H22" s="71">
        <v>69474</v>
      </c>
      <c r="I22" s="41">
        <v>55103</v>
      </c>
      <c r="J22" s="41">
        <v>54744</v>
      </c>
      <c r="K22" s="41">
        <v>55232</v>
      </c>
      <c r="L22" s="42">
        <v>34042</v>
      </c>
      <c r="M22" s="72">
        <v>53171</v>
      </c>
      <c r="N22" s="71">
        <v>213416</v>
      </c>
      <c r="O22" s="56">
        <v>261512</v>
      </c>
      <c r="P22" s="56">
        <v>238534</v>
      </c>
      <c r="Q22" s="56">
        <v>229713</v>
      </c>
      <c r="R22" s="42">
        <v>174359</v>
      </c>
      <c r="S22" s="72">
        <v>156082</v>
      </c>
      <c r="U22"/>
    </row>
    <row r="23" spans="1:21" ht="15.75" x14ac:dyDescent="0.25">
      <c r="A23" s="73" t="s">
        <v>17</v>
      </c>
      <c r="B23" s="71">
        <v>4242</v>
      </c>
      <c r="C23" s="41">
        <v>3602</v>
      </c>
      <c r="D23" s="41">
        <v>5030</v>
      </c>
      <c r="E23" s="41">
        <v>12066</v>
      </c>
      <c r="F23" s="41">
        <v>2502.9</v>
      </c>
      <c r="G23" s="43">
        <v>2554</v>
      </c>
      <c r="H23" s="71">
        <v>58095</v>
      </c>
      <c r="I23" s="41">
        <v>44831</v>
      </c>
      <c r="J23" s="41">
        <v>66009</v>
      </c>
      <c r="K23" s="41">
        <v>26692</v>
      </c>
      <c r="L23" s="41">
        <v>36147</v>
      </c>
      <c r="M23" s="43">
        <v>40753</v>
      </c>
      <c r="N23" s="71">
        <v>221463</v>
      </c>
      <c r="O23" s="56">
        <v>260976</v>
      </c>
      <c r="P23" s="56">
        <v>241992</v>
      </c>
      <c r="Q23" s="56">
        <v>229113</v>
      </c>
      <c r="R23" s="41">
        <v>173343</v>
      </c>
      <c r="S23" s="64">
        <v>140844</v>
      </c>
      <c r="U23"/>
    </row>
    <row r="24" spans="1:21" ht="15.75" x14ac:dyDescent="0.25">
      <c r="A24" s="73" t="s">
        <v>18</v>
      </c>
      <c r="B24" s="71">
        <v>6710</v>
      </c>
      <c r="C24" s="41">
        <v>4996</v>
      </c>
      <c r="D24" s="41">
        <v>5655</v>
      </c>
      <c r="E24" s="41">
        <v>5583.7</v>
      </c>
      <c r="F24" s="41">
        <v>4772.6000000000004</v>
      </c>
      <c r="G24" s="43">
        <v>3439.9</v>
      </c>
      <c r="H24" s="71">
        <v>70720</v>
      </c>
      <c r="I24" s="41">
        <v>48971</v>
      </c>
      <c r="J24" s="41">
        <v>68738</v>
      </c>
      <c r="K24" s="41">
        <v>38398</v>
      </c>
      <c r="L24" s="41">
        <v>38641</v>
      </c>
      <c r="M24" s="43">
        <v>50580</v>
      </c>
      <c r="N24" s="71">
        <v>251509</v>
      </c>
      <c r="O24" s="56">
        <v>266694</v>
      </c>
      <c r="P24" s="56">
        <v>277859</v>
      </c>
      <c r="Q24" s="56">
        <v>291921</v>
      </c>
      <c r="R24" s="41">
        <v>241761</v>
      </c>
      <c r="S24" s="64">
        <v>171231</v>
      </c>
      <c r="U24"/>
    </row>
    <row r="25" spans="1:21" ht="15.75" x14ac:dyDescent="0.25">
      <c r="A25" s="73" t="s">
        <v>19</v>
      </c>
      <c r="B25" s="71">
        <v>6915</v>
      </c>
      <c r="C25" s="41">
        <v>6862</v>
      </c>
      <c r="D25" s="41">
        <v>4909.7</v>
      </c>
      <c r="E25" s="41">
        <v>5851.9</v>
      </c>
      <c r="F25" s="41">
        <v>3710.1</v>
      </c>
      <c r="G25" s="43">
        <v>3677.3</v>
      </c>
      <c r="H25" s="71">
        <v>71466</v>
      </c>
      <c r="I25" s="41">
        <v>61130</v>
      </c>
      <c r="J25" s="41">
        <v>43575</v>
      </c>
      <c r="K25" s="41">
        <v>40409</v>
      </c>
      <c r="L25" s="41">
        <v>35985</v>
      </c>
      <c r="M25" s="43">
        <v>50764</v>
      </c>
      <c r="N25" s="71">
        <v>251175</v>
      </c>
      <c r="O25" s="56">
        <v>293622</v>
      </c>
      <c r="P25" s="56">
        <v>275624</v>
      </c>
      <c r="Q25" s="56">
        <v>264991</v>
      </c>
      <c r="R25" s="41">
        <v>186715</v>
      </c>
      <c r="S25" s="64">
        <v>171786</v>
      </c>
      <c r="U25"/>
    </row>
    <row r="26" spans="1:21" ht="15.75" x14ac:dyDescent="0.25">
      <c r="A26" s="73" t="s">
        <v>20</v>
      </c>
      <c r="B26" s="71">
        <v>8697</v>
      </c>
      <c r="C26" s="41">
        <v>9032</v>
      </c>
      <c r="D26" s="41">
        <v>7131</v>
      </c>
      <c r="E26" s="41">
        <v>5305.7</v>
      </c>
      <c r="F26" s="41">
        <v>4849.3999999999996</v>
      </c>
      <c r="G26" s="43">
        <v>4793.2</v>
      </c>
      <c r="H26" s="71">
        <v>82250</v>
      </c>
      <c r="I26" s="41">
        <v>74507</v>
      </c>
      <c r="J26" s="41">
        <v>97687</v>
      </c>
      <c r="K26" s="41">
        <v>45724</v>
      </c>
      <c r="L26" s="41">
        <v>49603</v>
      </c>
      <c r="M26" s="43">
        <v>58993</v>
      </c>
      <c r="N26" s="71">
        <v>244585</v>
      </c>
      <c r="O26" s="56">
        <v>302732</v>
      </c>
      <c r="P26" s="56">
        <v>257712</v>
      </c>
      <c r="Q26" s="56">
        <v>242706</v>
      </c>
      <c r="R26" s="41">
        <v>184791</v>
      </c>
      <c r="S26" s="64">
        <v>149066</v>
      </c>
      <c r="U26"/>
    </row>
    <row r="27" spans="1:21" ht="15.75" x14ac:dyDescent="0.25">
      <c r="A27" s="73" t="s">
        <v>105</v>
      </c>
      <c r="B27" s="71">
        <v>11232</v>
      </c>
      <c r="C27" s="41">
        <v>10252</v>
      </c>
      <c r="D27" s="41">
        <v>7464.8</v>
      </c>
      <c r="E27" s="41">
        <v>8322.4</v>
      </c>
      <c r="F27" s="41">
        <v>5704.2</v>
      </c>
      <c r="G27" s="43">
        <v>5435.4</v>
      </c>
      <c r="H27" s="71">
        <v>89902</v>
      </c>
      <c r="I27" s="41">
        <v>76390</v>
      </c>
      <c r="J27" s="41">
        <v>85703</v>
      </c>
      <c r="K27" s="41">
        <v>59838</v>
      </c>
      <c r="L27" s="41">
        <v>63646</v>
      </c>
      <c r="M27" s="43">
        <v>66799</v>
      </c>
      <c r="N27" s="71">
        <v>236479</v>
      </c>
      <c r="O27" s="56">
        <v>248797</v>
      </c>
      <c r="P27" s="56">
        <v>229944</v>
      </c>
      <c r="Q27" s="56">
        <v>233414</v>
      </c>
      <c r="R27" s="41">
        <v>177251</v>
      </c>
      <c r="S27" s="64">
        <v>172563</v>
      </c>
      <c r="U27"/>
    </row>
    <row r="28" spans="1:21" ht="15.75" x14ac:dyDescent="0.25">
      <c r="A28" s="73" t="s">
        <v>106</v>
      </c>
      <c r="B28" s="71">
        <v>13754</v>
      </c>
      <c r="C28" s="41">
        <v>15257</v>
      </c>
      <c r="D28" s="41">
        <v>15874.2</v>
      </c>
      <c r="E28" s="41">
        <v>10504.5</v>
      </c>
      <c r="F28" s="41">
        <v>9323</v>
      </c>
      <c r="G28" s="43">
        <v>8750.6</v>
      </c>
      <c r="H28" s="71">
        <v>99525</v>
      </c>
      <c r="I28" s="41">
        <v>95606</v>
      </c>
      <c r="J28" s="41">
        <v>118203</v>
      </c>
      <c r="K28" s="41">
        <v>78278</v>
      </c>
      <c r="L28" s="57">
        <v>79762</v>
      </c>
      <c r="M28" s="58">
        <v>62318</v>
      </c>
      <c r="N28" s="71">
        <v>260545</v>
      </c>
      <c r="O28" s="56">
        <v>242251</v>
      </c>
      <c r="P28" s="56">
        <v>241870</v>
      </c>
      <c r="Q28" s="56">
        <v>250478</v>
      </c>
      <c r="R28" s="41">
        <v>195908</v>
      </c>
      <c r="S28" s="64">
        <v>189052</v>
      </c>
      <c r="U28"/>
    </row>
    <row r="29" spans="1:21" ht="15.75" x14ac:dyDescent="0.25">
      <c r="A29" s="73" t="s">
        <v>23</v>
      </c>
      <c r="B29" s="71">
        <v>10925</v>
      </c>
      <c r="C29" s="41">
        <v>11072</v>
      </c>
      <c r="D29" s="41">
        <v>10412.700000000001</v>
      </c>
      <c r="E29" s="41">
        <v>7570.5</v>
      </c>
      <c r="F29" s="41">
        <v>5116.8</v>
      </c>
      <c r="G29" s="43">
        <v>5532.7</v>
      </c>
      <c r="H29" s="71">
        <v>84662</v>
      </c>
      <c r="I29" s="41">
        <v>80257</v>
      </c>
      <c r="J29" s="41">
        <v>71637</v>
      </c>
      <c r="K29" s="41">
        <v>68900</v>
      </c>
      <c r="L29" s="41">
        <v>59534</v>
      </c>
      <c r="M29" s="43">
        <v>66515</v>
      </c>
      <c r="N29" s="71">
        <v>269738</v>
      </c>
      <c r="O29" s="56">
        <v>257655</v>
      </c>
      <c r="P29" s="56">
        <v>245501</v>
      </c>
      <c r="Q29" s="56">
        <v>251112</v>
      </c>
      <c r="R29" s="41">
        <v>191294</v>
      </c>
      <c r="S29" s="74">
        <v>189250</v>
      </c>
      <c r="U29"/>
    </row>
    <row r="30" spans="1:21" ht="15.75" x14ac:dyDescent="0.25">
      <c r="A30" s="73" t="s">
        <v>107</v>
      </c>
      <c r="B30" s="71">
        <v>7874</v>
      </c>
      <c r="C30" s="41">
        <v>11137</v>
      </c>
      <c r="D30" s="41">
        <v>7865.4</v>
      </c>
      <c r="E30" s="41">
        <v>5445.6</v>
      </c>
      <c r="F30" s="41">
        <v>5622.1</v>
      </c>
      <c r="G30" s="43">
        <v>4854.7</v>
      </c>
      <c r="H30" s="71">
        <v>84833</v>
      </c>
      <c r="I30" s="41">
        <v>72347</v>
      </c>
      <c r="J30" s="41">
        <v>81266</v>
      </c>
      <c r="K30" s="41">
        <v>59363</v>
      </c>
      <c r="L30" s="41">
        <v>52423</v>
      </c>
      <c r="M30" s="43">
        <v>59400</v>
      </c>
      <c r="N30" s="71">
        <v>240848</v>
      </c>
      <c r="O30" s="56">
        <v>245144</v>
      </c>
      <c r="P30" s="56">
        <v>240986</v>
      </c>
      <c r="Q30" s="56">
        <v>279106</v>
      </c>
      <c r="R30" s="41">
        <v>182788</v>
      </c>
      <c r="S30" s="74">
        <v>139002</v>
      </c>
      <c r="U30"/>
    </row>
    <row r="31" spans="1:21" ht="15.75" x14ac:dyDescent="0.25">
      <c r="A31" s="73" t="s">
        <v>25</v>
      </c>
      <c r="B31" s="71">
        <v>6831</v>
      </c>
      <c r="C31" s="41">
        <v>10584.8</v>
      </c>
      <c r="D31" s="41">
        <v>8557</v>
      </c>
      <c r="E31" s="41">
        <v>5584.1</v>
      </c>
      <c r="F31" s="41">
        <v>4751.3</v>
      </c>
      <c r="G31" s="43">
        <v>3912.9</v>
      </c>
      <c r="H31" s="71">
        <v>89167</v>
      </c>
      <c r="I31" s="41">
        <v>72185</v>
      </c>
      <c r="J31" s="41">
        <v>69609</v>
      </c>
      <c r="K31" s="41">
        <v>49633</v>
      </c>
      <c r="L31" s="41">
        <v>60284</v>
      </c>
      <c r="M31" s="43">
        <v>67278</v>
      </c>
      <c r="N31" s="71">
        <v>233849</v>
      </c>
      <c r="O31" s="56">
        <v>251389</v>
      </c>
      <c r="P31" s="56">
        <v>255468</v>
      </c>
      <c r="Q31" s="56">
        <v>295896</v>
      </c>
      <c r="R31" s="41">
        <v>150847</v>
      </c>
      <c r="S31" s="74">
        <v>152781</v>
      </c>
      <c r="U31"/>
    </row>
    <row r="32" spans="1:21" ht="15.75" x14ac:dyDescent="0.25">
      <c r="A32" s="73" t="s">
        <v>26</v>
      </c>
      <c r="B32" s="71">
        <v>5923</v>
      </c>
      <c r="C32" s="41">
        <v>8966</v>
      </c>
      <c r="D32" s="41">
        <v>7701.5</v>
      </c>
      <c r="E32" s="41">
        <v>3520.5</v>
      </c>
      <c r="F32" s="41">
        <v>7141.2</v>
      </c>
      <c r="G32" s="43">
        <v>2783.7</v>
      </c>
      <c r="H32" s="71">
        <v>69510</v>
      </c>
      <c r="I32" s="41">
        <v>54738</v>
      </c>
      <c r="J32" s="41">
        <v>52993</v>
      </c>
      <c r="K32" s="41">
        <v>36099</v>
      </c>
      <c r="L32" s="41">
        <v>51946</v>
      </c>
      <c r="M32" s="43">
        <v>59939</v>
      </c>
      <c r="N32" s="71">
        <v>215739</v>
      </c>
      <c r="O32" s="56">
        <v>232310</v>
      </c>
      <c r="P32" s="56">
        <v>247536</v>
      </c>
      <c r="Q32" s="56">
        <v>243136</v>
      </c>
      <c r="R32" s="41">
        <v>148718</v>
      </c>
      <c r="S32" s="43">
        <v>129102</v>
      </c>
      <c r="U32"/>
    </row>
    <row r="33" spans="1:21" ht="16.5" thickBot="1" x14ac:dyDescent="0.3">
      <c r="A33" s="75" t="s">
        <v>27</v>
      </c>
      <c r="B33" s="76">
        <v>4629</v>
      </c>
      <c r="C33" s="44">
        <v>5552</v>
      </c>
      <c r="D33" s="44">
        <v>4227.3</v>
      </c>
      <c r="E33" s="44">
        <v>2808.4</v>
      </c>
      <c r="F33" s="44">
        <v>2351.5</v>
      </c>
      <c r="G33" s="45">
        <v>1665.6</v>
      </c>
      <c r="H33" s="76">
        <v>64601</v>
      </c>
      <c r="I33" s="44">
        <v>61641</v>
      </c>
      <c r="J33" s="44">
        <v>55229</v>
      </c>
      <c r="K33" s="44">
        <v>36628</v>
      </c>
      <c r="L33" s="44">
        <v>40156</v>
      </c>
      <c r="M33" s="45">
        <v>21093</v>
      </c>
      <c r="N33" s="76">
        <v>256334</v>
      </c>
      <c r="O33" s="59">
        <v>266831</v>
      </c>
      <c r="P33" s="59">
        <v>291018</v>
      </c>
      <c r="Q33" s="59">
        <v>252081</v>
      </c>
      <c r="R33" s="44">
        <v>163865</v>
      </c>
      <c r="S33" s="45">
        <v>63039</v>
      </c>
      <c r="U33"/>
    </row>
    <row r="34" spans="1:21" ht="17.25" thickTop="1" thickBot="1" x14ac:dyDescent="0.3">
      <c r="A34" s="46" t="s">
        <v>58</v>
      </c>
      <c r="B34" s="77">
        <f>SUM(B22:B33)</f>
        <v>93311</v>
      </c>
      <c r="C34" s="47">
        <f>SUM(C22:C33)</f>
        <v>101779.8</v>
      </c>
      <c r="D34" s="47">
        <f t="shared" ref="D34:S34" si="1">SUM(D22:D33)</f>
        <v>89634.599999999991</v>
      </c>
      <c r="E34" s="47">
        <f t="shared" si="1"/>
        <v>75780.099999999991</v>
      </c>
      <c r="F34" s="48">
        <f t="shared" si="1"/>
        <v>58480.6</v>
      </c>
      <c r="G34" s="49">
        <f t="shared" si="1"/>
        <v>50001.499999999993</v>
      </c>
      <c r="H34" s="77">
        <f t="shared" si="1"/>
        <v>934205</v>
      </c>
      <c r="I34" s="47">
        <f t="shared" si="1"/>
        <v>797706</v>
      </c>
      <c r="J34" s="47">
        <f t="shared" si="1"/>
        <v>865393</v>
      </c>
      <c r="K34" s="47">
        <f t="shared" si="1"/>
        <v>595194</v>
      </c>
      <c r="L34" s="48">
        <f t="shared" si="1"/>
        <v>602169</v>
      </c>
      <c r="M34" s="49">
        <f t="shared" si="1"/>
        <v>657603</v>
      </c>
      <c r="N34" s="77">
        <f t="shared" si="1"/>
        <v>2895680</v>
      </c>
      <c r="O34" s="47">
        <f t="shared" si="1"/>
        <v>3129913</v>
      </c>
      <c r="P34" s="60">
        <f t="shared" si="1"/>
        <v>3044044</v>
      </c>
      <c r="Q34" s="60">
        <f t="shared" si="1"/>
        <v>3063667</v>
      </c>
      <c r="R34" s="48">
        <f t="shared" si="1"/>
        <v>2171640</v>
      </c>
      <c r="S34" s="78">
        <f t="shared" si="1"/>
        <v>1823798</v>
      </c>
      <c r="U34"/>
    </row>
  </sheetData>
  <mergeCells count="9">
    <mergeCell ref="A1:S1"/>
    <mergeCell ref="A19:S19"/>
    <mergeCell ref="B20:G20"/>
    <mergeCell ref="H20:M20"/>
    <mergeCell ref="N20:S20"/>
    <mergeCell ref="A2:S2"/>
    <mergeCell ref="B3:G3"/>
    <mergeCell ref="H3:M3"/>
    <mergeCell ref="N3:S3"/>
  </mergeCells>
  <pageMargins left="0.95" right="0.7" top="0.75" bottom="0.75" header="0.3" footer="0.3"/>
  <pageSetup scale="53" orientation="landscape" r:id="rId1"/>
  <headerFooter>
    <oddFooter>&amp;C&amp;Z&amp;F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29"/>
  <sheetViews>
    <sheetView tabSelected="1" zoomScale="80" zoomScaleNormal="80" workbookViewId="0">
      <pane ySplit="5" topLeftCell="A6" activePane="bottomLeft" state="frozen"/>
      <selection pane="bottomLeft" activeCell="U16" sqref="U16"/>
    </sheetView>
  </sheetViews>
  <sheetFormatPr defaultRowHeight="15" x14ac:dyDescent="0.25"/>
  <cols>
    <col min="1" max="1" width="15" customWidth="1"/>
    <col min="2" max="2" width="20.140625" bestFit="1" customWidth="1"/>
    <col min="3" max="4" width="14.28515625" customWidth="1"/>
    <col min="5" max="5" width="15.5703125" bestFit="1" customWidth="1"/>
    <col min="6" max="6" width="18.28515625" customWidth="1"/>
    <col min="7" max="7" width="15" customWidth="1"/>
    <col min="8" max="8" width="14.28515625" bestFit="1" customWidth="1"/>
    <col min="9" max="9" width="12.85546875" customWidth="1"/>
    <col min="10" max="10" width="15.28515625" customWidth="1"/>
    <col min="11" max="11" width="18.85546875" bestFit="1" customWidth="1"/>
    <col min="12" max="12" width="18.85546875" customWidth="1"/>
    <col min="13" max="13" width="20.140625" bestFit="1" customWidth="1"/>
    <col min="14" max="14" width="15.5703125" customWidth="1"/>
    <col min="16" max="16" width="13.28515625" bestFit="1" customWidth="1"/>
    <col min="17" max="17" width="11.140625" bestFit="1" customWidth="1"/>
    <col min="18" max="18" width="12.140625" bestFit="1" customWidth="1"/>
    <col min="19" max="19" width="11.140625" bestFit="1" customWidth="1"/>
    <col min="20" max="20" width="12.140625" bestFit="1" customWidth="1"/>
  </cols>
  <sheetData>
    <row r="1" spans="1:20" ht="20.25" x14ac:dyDescent="0.3">
      <c r="A1" s="608" t="s">
        <v>133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</row>
    <row r="2" spans="1:20" ht="20.25" x14ac:dyDescent="0.3">
      <c r="A2" s="608" t="s">
        <v>83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</row>
    <row r="3" spans="1:20" ht="20.25" x14ac:dyDescent="0.3">
      <c r="A3" s="608">
        <v>2022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</row>
    <row r="4" spans="1:20" ht="15.75" x14ac:dyDescent="0.25">
      <c r="A4" s="28"/>
      <c r="B4" s="90"/>
      <c r="C4" s="90"/>
      <c r="D4" s="90"/>
      <c r="E4" s="90"/>
      <c r="F4" s="90"/>
      <c r="G4" s="90"/>
      <c r="H4" s="91"/>
      <c r="I4" s="92"/>
      <c r="J4" s="91"/>
      <c r="K4" s="93"/>
      <c r="L4" s="93"/>
      <c r="M4" s="93"/>
      <c r="N4" s="28"/>
      <c r="P4" s="609" t="s">
        <v>164</v>
      </c>
      <c r="Q4" s="609"/>
      <c r="R4" s="609"/>
      <c r="S4" s="609"/>
      <c r="T4" s="609"/>
    </row>
    <row r="5" spans="1:20" ht="72" customHeight="1" x14ac:dyDescent="0.25">
      <c r="A5" s="29"/>
      <c r="B5" s="29" t="s">
        <v>84</v>
      </c>
      <c r="C5" s="29" t="s">
        <v>134</v>
      </c>
      <c r="D5" s="29" t="s">
        <v>160</v>
      </c>
      <c r="E5" s="29" t="s">
        <v>85</v>
      </c>
      <c r="F5" s="29" t="s">
        <v>135</v>
      </c>
      <c r="G5" s="29" t="s">
        <v>43</v>
      </c>
      <c r="H5" s="29" t="s">
        <v>86</v>
      </c>
      <c r="I5" s="29" t="s">
        <v>136</v>
      </c>
      <c r="J5" s="29" t="s">
        <v>132</v>
      </c>
      <c r="K5" s="29" t="s">
        <v>87</v>
      </c>
      <c r="L5" s="29" t="s">
        <v>161</v>
      </c>
      <c r="M5" s="29" t="s">
        <v>87</v>
      </c>
      <c r="N5" s="29" t="s">
        <v>46</v>
      </c>
      <c r="P5" s="417"/>
      <c r="Q5" s="417"/>
      <c r="R5" s="103" t="s">
        <v>181</v>
      </c>
      <c r="S5" s="417"/>
      <c r="T5" s="417"/>
    </row>
    <row r="6" spans="1:20" ht="18.75" customHeight="1" thickBot="1" x14ac:dyDescent="0.3">
      <c r="A6" s="30"/>
      <c r="B6" s="31"/>
      <c r="C6" s="31"/>
      <c r="D6" s="31"/>
      <c r="E6" s="31"/>
      <c r="F6" s="31"/>
      <c r="G6" s="31"/>
      <c r="H6" s="31"/>
      <c r="I6" s="62"/>
      <c r="J6" s="62"/>
      <c r="K6" s="63"/>
      <c r="L6" s="63"/>
      <c r="M6" s="63"/>
      <c r="N6" s="30"/>
      <c r="P6" s="423" t="s">
        <v>180</v>
      </c>
      <c r="Q6" s="423" t="s">
        <v>182</v>
      </c>
      <c r="R6" s="423" t="s">
        <v>182</v>
      </c>
      <c r="S6" s="423" t="s">
        <v>183</v>
      </c>
      <c r="T6" s="423" t="s">
        <v>184</v>
      </c>
    </row>
    <row r="7" spans="1:20" ht="18.75" thickTop="1" x14ac:dyDescent="0.25">
      <c r="A7" s="32" t="s">
        <v>52</v>
      </c>
      <c r="B7" s="33">
        <v>3473.9460000000004</v>
      </c>
      <c r="C7" s="33">
        <v>1722.3720000000001</v>
      </c>
      <c r="D7" s="33">
        <v>1078.06</v>
      </c>
      <c r="E7" s="33">
        <v>663.78</v>
      </c>
      <c r="F7" s="33">
        <v>730.58999999999992</v>
      </c>
      <c r="G7" s="33">
        <v>-1650</v>
      </c>
      <c r="H7" s="33">
        <v>2480.5500000000002</v>
      </c>
      <c r="I7" s="33">
        <v>600</v>
      </c>
      <c r="J7" s="33">
        <v>30</v>
      </c>
      <c r="K7" s="33">
        <v>1534.0318</v>
      </c>
      <c r="L7" s="33">
        <v>110245.33</v>
      </c>
      <c r="M7" s="33">
        <v>2204.9066000000003</v>
      </c>
      <c r="N7" s="33">
        <v>10663.329800000001</v>
      </c>
      <c r="P7" s="102">
        <v>6018.7480000000005</v>
      </c>
      <c r="Q7" s="102">
        <v>1534.0318</v>
      </c>
      <c r="R7" s="102">
        <v>2204.9066000000003</v>
      </c>
      <c r="S7" s="102">
        <v>600</v>
      </c>
      <c r="T7" s="102">
        <v>2510.5500000000002</v>
      </c>
    </row>
    <row r="8" spans="1:20" ht="18.75" customHeight="1" x14ac:dyDescent="0.25">
      <c r="A8" s="34" t="s">
        <v>70</v>
      </c>
      <c r="B8" s="33">
        <v>3825.8669999999997</v>
      </c>
      <c r="C8" s="33">
        <v>1908.654</v>
      </c>
      <c r="D8" s="33">
        <v>1238.9000000000001</v>
      </c>
      <c r="E8" s="33">
        <v>675.46</v>
      </c>
      <c r="F8" s="33">
        <v>902.91</v>
      </c>
      <c r="G8" s="33">
        <v>-1950</v>
      </c>
      <c r="H8" s="33">
        <v>2325.3000000000002</v>
      </c>
      <c r="I8" s="33">
        <v>570</v>
      </c>
      <c r="J8" s="33">
        <v>20</v>
      </c>
      <c r="K8" s="33">
        <v>1044.4976000000001</v>
      </c>
      <c r="L8" s="33">
        <v>170564.03</v>
      </c>
      <c r="M8" s="33">
        <v>3411.2806</v>
      </c>
      <c r="N8" s="35">
        <v>10561.588600000001</v>
      </c>
      <c r="P8" s="102">
        <v>6601.7910000000011</v>
      </c>
      <c r="Q8" s="102">
        <v>1044.4976000000001</v>
      </c>
      <c r="R8" s="102">
        <v>3411.2806</v>
      </c>
      <c r="S8" s="102">
        <v>570</v>
      </c>
      <c r="T8" s="102">
        <v>2345.3000000000002</v>
      </c>
    </row>
    <row r="9" spans="1:20" ht="18.75" customHeight="1" x14ac:dyDescent="0.25">
      <c r="A9" s="34" t="s">
        <v>69</v>
      </c>
      <c r="B9" s="33">
        <v>4110.7589999999991</v>
      </c>
      <c r="C9" s="33">
        <v>2368.578</v>
      </c>
      <c r="D9" s="33">
        <v>1157.7</v>
      </c>
      <c r="E9" s="33">
        <v>793.28</v>
      </c>
      <c r="F9" s="33">
        <v>1885.71</v>
      </c>
      <c r="G9" s="33">
        <v>-2400</v>
      </c>
      <c r="H9" s="33">
        <v>3574.2</v>
      </c>
      <c r="I9" s="33">
        <v>612</v>
      </c>
      <c r="J9" s="33">
        <v>30</v>
      </c>
      <c r="K9" s="33">
        <v>877.70159999999976</v>
      </c>
      <c r="L9" s="33">
        <v>170832.81</v>
      </c>
      <c r="M9" s="33">
        <v>3416.6561999999999</v>
      </c>
      <c r="N9" s="35">
        <v>13009.928599999999</v>
      </c>
      <c r="P9" s="102">
        <v>7916.0269999999982</v>
      </c>
      <c r="Q9" s="102">
        <v>877.70159999999976</v>
      </c>
      <c r="R9" s="102">
        <v>3416.6561999999999</v>
      </c>
      <c r="S9" s="102">
        <v>612</v>
      </c>
      <c r="T9" s="102">
        <v>3604.2</v>
      </c>
    </row>
    <row r="10" spans="1:20" ht="18.75" customHeight="1" x14ac:dyDescent="0.25">
      <c r="A10" s="34" t="s">
        <v>82</v>
      </c>
      <c r="B10" s="33">
        <v>3467.2289999999994</v>
      </c>
      <c r="C10" s="33">
        <v>1373.058</v>
      </c>
      <c r="D10" s="33">
        <v>1145.06</v>
      </c>
      <c r="E10" s="33">
        <v>708.74</v>
      </c>
      <c r="F10" s="33">
        <v>1408.4099999999999</v>
      </c>
      <c r="G10" s="33">
        <v>-1650</v>
      </c>
      <c r="H10" s="33">
        <v>1766.4</v>
      </c>
      <c r="I10" s="33">
        <v>663</v>
      </c>
      <c r="J10" s="33">
        <v>20</v>
      </c>
      <c r="K10" s="33">
        <v>534.44340000000022</v>
      </c>
      <c r="L10" s="33">
        <v>349056.48</v>
      </c>
      <c r="M10" s="33">
        <v>6981.1296000000002</v>
      </c>
      <c r="N10" s="94">
        <v>9436.3403999999991</v>
      </c>
      <c r="P10" s="102">
        <v>6452.4969999999994</v>
      </c>
      <c r="Q10" s="102">
        <v>534.44340000000022</v>
      </c>
      <c r="R10" s="102">
        <v>6981.1296000000002</v>
      </c>
      <c r="S10" s="102">
        <v>663</v>
      </c>
      <c r="T10" s="102">
        <v>1786.4</v>
      </c>
    </row>
    <row r="11" spans="1:20" ht="18.75" customHeight="1" x14ac:dyDescent="0.25">
      <c r="A11" s="34" t="s">
        <v>4</v>
      </c>
      <c r="B11" s="33">
        <v>5060.6489999999994</v>
      </c>
      <c r="C11" s="33">
        <v>2979.6779999999999</v>
      </c>
      <c r="D11" s="33">
        <v>1498.32</v>
      </c>
      <c r="E11" s="33">
        <v>882.22</v>
      </c>
      <c r="F11" s="33">
        <v>1208.8799999999999</v>
      </c>
      <c r="G11" s="33">
        <v>-1650</v>
      </c>
      <c r="H11" s="33">
        <v>4516.05</v>
      </c>
      <c r="I11" s="33">
        <v>723</v>
      </c>
      <c r="J11" s="33">
        <v>0</v>
      </c>
      <c r="K11" s="33">
        <v>551.60260000000005</v>
      </c>
      <c r="L11" s="33">
        <v>189789.28</v>
      </c>
      <c r="M11" s="33">
        <v>3795.7856000000002</v>
      </c>
      <c r="N11" s="35">
        <v>15770.399599999999</v>
      </c>
      <c r="P11" s="102">
        <v>9979.7469999999976</v>
      </c>
      <c r="Q11" s="102">
        <v>551.60260000000005</v>
      </c>
      <c r="R11" s="102">
        <v>3795.7856000000002</v>
      </c>
      <c r="S11" s="102">
        <v>723</v>
      </c>
      <c r="T11" s="102">
        <v>4516.05</v>
      </c>
    </row>
    <row r="12" spans="1:20" ht="18.75" customHeight="1" x14ac:dyDescent="0.25">
      <c r="A12" s="34" t="s">
        <v>71</v>
      </c>
      <c r="B12" s="33">
        <v>5185.41</v>
      </c>
      <c r="C12" s="33">
        <v>2707.99</v>
      </c>
      <c r="D12" s="33">
        <v>1457.08</v>
      </c>
      <c r="E12" s="33">
        <v>1097.2</v>
      </c>
      <c r="F12" s="33">
        <v>855.78</v>
      </c>
      <c r="G12" s="33">
        <v>-975</v>
      </c>
      <c r="H12" s="33">
        <v>4516.05</v>
      </c>
      <c r="I12" s="33">
        <v>771</v>
      </c>
      <c r="J12" s="33">
        <v>0</v>
      </c>
      <c r="K12" s="33">
        <v>542.81499999999937</v>
      </c>
      <c r="L12" s="33">
        <v>109221.11</v>
      </c>
      <c r="M12" s="33">
        <v>2184.4222</v>
      </c>
      <c r="N12" s="35">
        <v>16158.325000000001</v>
      </c>
      <c r="P12" s="102">
        <v>10328.460000000001</v>
      </c>
      <c r="Q12" s="102">
        <v>542.81499999999937</v>
      </c>
      <c r="R12" s="102">
        <v>2184.4222</v>
      </c>
      <c r="S12" s="102">
        <v>771</v>
      </c>
      <c r="T12" s="102">
        <v>4516.05</v>
      </c>
    </row>
    <row r="13" spans="1:20" ht="18.75" customHeight="1" x14ac:dyDescent="0.25">
      <c r="A13" s="34" t="s">
        <v>72</v>
      </c>
      <c r="B13" s="33">
        <v>7062.29</v>
      </c>
      <c r="C13" s="33">
        <v>6869.79</v>
      </c>
      <c r="D13" s="33">
        <v>1529.18</v>
      </c>
      <c r="E13" s="33">
        <v>889.08</v>
      </c>
      <c r="F13" s="33">
        <v>889.05</v>
      </c>
      <c r="G13" s="33">
        <v>-975</v>
      </c>
      <c r="H13" s="482">
        <v>4516.05</v>
      </c>
      <c r="I13" s="33">
        <v>852</v>
      </c>
      <c r="J13" s="33">
        <v>0</v>
      </c>
      <c r="K13" s="33">
        <v>1331.1</v>
      </c>
      <c r="L13" s="33">
        <v>180255.06</v>
      </c>
      <c r="M13" s="33">
        <v>3605.1</v>
      </c>
      <c r="N13" s="35">
        <v>22963.54</v>
      </c>
      <c r="P13" s="102">
        <v>16264.39</v>
      </c>
      <c r="Q13" s="102">
        <v>1331.1</v>
      </c>
      <c r="R13" s="102">
        <v>3605.1</v>
      </c>
      <c r="S13" s="102">
        <v>852</v>
      </c>
      <c r="T13" s="102">
        <v>4516.05</v>
      </c>
    </row>
    <row r="14" spans="1:20" ht="18.75" customHeight="1" x14ac:dyDescent="0.25">
      <c r="A14" s="34" t="s">
        <v>73</v>
      </c>
      <c r="B14" s="33">
        <v>5752.76</v>
      </c>
      <c r="C14" s="33">
        <v>3870.28</v>
      </c>
      <c r="D14" s="33">
        <v>1663.26</v>
      </c>
      <c r="E14" s="33">
        <v>881.82</v>
      </c>
      <c r="F14" s="33">
        <v>868.86</v>
      </c>
      <c r="G14" s="33">
        <v>-825</v>
      </c>
      <c r="H14" s="33">
        <v>4764.45</v>
      </c>
      <c r="I14" s="33">
        <v>1020</v>
      </c>
      <c r="J14" s="33">
        <v>0</v>
      </c>
      <c r="K14" s="33">
        <v>-107.42</v>
      </c>
      <c r="L14" s="33">
        <v>57192.42</v>
      </c>
      <c r="M14" s="33">
        <v>1143.8499999999999</v>
      </c>
      <c r="N14" s="35">
        <v>17889</v>
      </c>
      <c r="P14" s="102">
        <v>12211.97</v>
      </c>
      <c r="Q14" s="102">
        <v>-107.42</v>
      </c>
      <c r="R14" s="102">
        <v>1143.8499999999999</v>
      </c>
      <c r="S14" s="102">
        <v>1020</v>
      </c>
      <c r="T14" s="102">
        <v>4764.45</v>
      </c>
    </row>
    <row r="15" spans="1:20" ht="18.75" customHeight="1" x14ac:dyDescent="0.25">
      <c r="A15" s="34" t="s">
        <v>74</v>
      </c>
      <c r="B15" s="33">
        <v>5523.2699999999995</v>
      </c>
      <c r="C15" s="33">
        <v>3187.98</v>
      </c>
      <c r="D15" s="33">
        <v>1520.34</v>
      </c>
      <c r="E15" s="33">
        <v>1099.18</v>
      </c>
      <c r="F15" s="33">
        <v>1648.77</v>
      </c>
      <c r="G15" s="33">
        <v>-1350</v>
      </c>
      <c r="H15" s="33">
        <v>6254.85</v>
      </c>
      <c r="I15" s="33">
        <v>1002</v>
      </c>
      <c r="J15" s="33">
        <v>0</v>
      </c>
      <c r="K15" s="33">
        <v>555.80439999999999</v>
      </c>
      <c r="L15" s="33">
        <v>143773.1</v>
      </c>
      <c r="M15" s="33">
        <v>2875.462</v>
      </c>
      <c r="N15" s="35">
        <v>19442.1944</v>
      </c>
      <c r="P15" s="102">
        <v>11629.54</v>
      </c>
      <c r="Q15" s="102">
        <v>555.80439999999999</v>
      </c>
      <c r="R15" s="102">
        <v>2875.462</v>
      </c>
      <c r="S15" s="102">
        <v>1002</v>
      </c>
      <c r="T15" s="102">
        <v>6254.85</v>
      </c>
    </row>
    <row r="16" spans="1:20" ht="18.75" customHeight="1" x14ac:dyDescent="0.25">
      <c r="A16" s="34" t="s">
        <v>75</v>
      </c>
      <c r="B16" s="33">
        <v>6592.02</v>
      </c>
      <c r="C16" s="33">
        <v>2841.12</v>
      </c>
      <c r="D16" s="33">
        <v>1153.04</v>
      </c>
      <c r="E16" s="33">
        <v>1135.48</v>
      </c>
      <c r="F16" s="33">
        <v>1017.99</v>
      </c>
      <c r="G16" s="33">
        <v>-1350</v>
      </c>
      <c r="H16" s="33">
        <v>5233.6499999999996</v>
      </c>
      <c r="I16" s="33">
        <v>888</v>
      </c>
      <c r="J16" s="33">
        <v>0</v>
      </c>
      <c r="K16" s="33">
        <v>658.54</v>
      </c>
      <c r="L16" s="33">
        <v>99260.92</v>
      </c>
      <c r="M16" s="33">
        <v>1985.22</v>
      </c>
      <c r="N16" s="35">
        <v>18169.84</v>
      </c>
      <c r="P16" s="102">
        <v>11389.65</v>
      </c>
      <c r="Q16" s="102">
        <v>658.54</v>
      </c>
      <c r="R16" s="102">
        <v>1985.22</v>
      </c>
      <c r="S16" s="102">
        <v>888</v>
      </c>
      <c r="T16" s="102">
        <v>5233.6499999999996</v>
      </c>
    </row>
    <row r="17" spans="1:20" ht="18.75" customHeight="1" x14ac:dyDescent="0.25">
      <c r="A17" s="34" t="s">
        <v>76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5"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</row>
    <row r="18" spans="1:20" ht="22.5" customHeight="1" thickBot="1" x14ac:dyDescent="0.3">
      <c r="A18" s="34" t="s">
        <v>77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6">
        <v>0</v>
      </c>
      <c r="P18" s="104">
        <v>0</v>
      </c>
      <c r="Q18" s="104">
        <v>0</v>
      </c>
      <c r="R18" s="104">
        <v>0</v>
      </c>
      <c r="S18" s="104">
        <v>0</v>
      </c>
      <c r="T18" s="104">
        <v>0</v>
      </c>
    </row>
    <row r="19" spans="1:20" ht="18.75" thickTop="1" x14ac:dyDescent="0.25">
      <c r="A19" s="37" t="s">
        <v>58</v>
      </c>
      <c r="B19" s="33">
        <f t="shared" ref="B19:N19" si="0">SUM(B7:B18)</f>
        <v>50054.2</v>
      </c>
      <c r="C19" s="33">
        <f t="shared" si="0"/>
        <v>29829.499999999996</v>
      </c>
      <c r="D19" s="33">
        <f t="shared" si="0"/>
        <v>13440.939999999999</v>
      </c>
      <c r="E19" s="33">
        <f t="shared" si="0"/>
        <v>8826.24</v>
      </c>
      <c r="F19" s="33">
        <f t="shared" si="0"/>
        <v>11416.95</v>
      </c>
      <c r="G19" s="33">
        <f t="shared" si="0"/>
        <v>-14775</v>
      </c>
      <c r="H19" s="33">
        <f t="shared" si="0"/>
        <v>39947.550000000003</v>
      </c>
      <c r="I19" s="33">
        <f t="shared" si="0"/>
        <v>7701</v>
      </c>
      <c r="J19" s="33">
        <f t="shared" si="0"/>
        <v>100</v>
      </c>
      <c r="K19" s="33">
        <f t="shared" si="0"/>
        <v>7523.116399999999</v>
      </c>
      <c r="L19" s="33">
        <f>SUM(L7:L18)</f>
        <v>1580190.54</v>
      </c>
      <c r="M19" s="33">
        <f>SUM(M7:M18)</f>
        <v>31603.8128</v>
      </c>
      <c r="N19" s="33">
        <f t="shared" si="0"/>
        <v>154064.48639999999</v>
      </c>
      <c r="P19" s="102">
        <f>SUM(P7:P18)</f>
        <v>98792.819999999978</v>
      </c>
      <c r="Q19" s="102">
        <f>SUM(Q7:Q18)</f>
        <v>7523.116399999999</v>
      </c>
      <c r="R19" s="102">
        <f>SUM(R7:R18)</f>
        <v>31603.8128</v>
      </c>
      <c r="S19" s="102">
        <f>SUM(S7:S18)</f>
        <v>7701</v>
      </c>
      <c r="T19" s="102">
        <f>SUM(T7:T18)</f>
        <v>40047.550000000003</v>
      </c>
    </row>
    <row r="23" spans="1:20" x14ac:dyDescent="0.25">
      <c r="G23" s="102"/>
    </row>
    <row r="26" spans="1:20" x14ac:dyDescent="0.25">
      <c r="F26" s="105"/>
    </row>
    <row r="27" spans="1:20" x14ac:dyDescent="0.25">
      <c r="F27" s="105"/>
    </row>
    <row r="28" spans="1:20" x14ac:dyDescent="0.25">
      <c r="F28" s="105"/>
    </row>
    <row r="29" spans="1:20" x14ac:dyDescent="0.25">
      <c r="F29" s="61"/>
    </row>
  </sheetData>
  <mergeCells count="4">
    <mergeCell ref="A1:N1"/>
    <mergeCell ref="A2:N2"/>
    <mergeCell ref="A3:N3"/>
    <mergeCell ref="P4:T4"/>
  </mergeCells>
  <pageMargins left="0.95" right="0.7" top="1.25" bottom="0.75" header="0.3" footer="0.3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I34"/>
  <sheetViews>
    <sheetView zoomScaleNormal="100" zoomScaleSheetLayoutView="90" workbookViewId="0">
      <selection activeCell="G50" sqref="G50"/>
    </sheetView>
  </sheetViews>
  <sheetFormatPr defaultRowHeight="15" x14ac:dyDescent="0.25"/>
  <cols>
    <col min="1" max="1" width="6.140625" customWidth="1"/>
    <col min="3" max="3" width="10.42578125" bestFit="1" customWidth="1"/>
    <col min="4" max="5" width="10.42578125" customWidth="1"/>
    <col min="6" max="7" width="9.7109375" bestFit="1" customWidth="1"/>
    <col min="8" max="8" width="12.7109375" bestFit="1" customWidth="1"/>
    <col min="10" max="10" width="6.5703125" customWidth="1"/>
  </cols>
  <sheetData>
    <row r="1" spans="3:9" ht="23.25" x14ac:dyDescent="0.35">
      <c r="C1" s="501" t="s">
        <v>109</v>
      </c>
      <c r="D1" s="501"/>
      <c r="E1" s="501"/>
      <c r="F1" s="501"/>
      <c r="G1" s="501"/>
      <c r="H1" s="501"/>
      <c r="I1" s="501"/>
    </row>
    <row r="2" spans="3:9" ht="23.25" x14ac:dyDescent="0.35">
      <c r="C2" s="356"/>
      <c r="D2" s="502" t="s">
        <v>213</v>
      </c>
      <c r="E2" s="502"/>
      <c r="F2" s="502"/>
      <c r="G2" s="502"/>
      <c r="H2" s="502"/>
      <c r="I2" s="356"/>
    </row>
    <row r="19" spans="3:8" ht="15.75" thickBot="1" x14ac:dyDescent="0.3"/>
    <row r="20" spans="3:8" ht="16.5" thickBot="1" x14ac:dyDescent="0.3">
      <c r="C20" s="220"/>
      <c r="D20" s="505" t="s">
        <v>29</v>
      </c>
      <c r="E20" s="505"/>
      <c r="F20" s="505"/>
      <c r="G20" s="505"/>
      <c r="H20" s="504"/>
    </row>
    <row r="21" spans="3:8" ht="16.5" thickBot="1" x14ac:dyDescent="0.3">
      <c r="C21" s="338" t="s">
        <v>30</v>
      </c>
      <c r="D21" s="221">
        <v>2019</v>
      </c>
      <c r="E21" s="221">
        <v>2020</v>
      </c>
      <c r="F21" s="222">
        <v>2021</v>
      </c>
      <c r="G21" s="222">
        <v>2022</v>
      </c>
      <c r="H21" s="178" t="s">
        <v>81</v>
      </c>
    </row>
    <row r="22" spans="3:8" ht="15.75" x14ac:dyDescent="0.25">
      <c r="C22" s="351" t="s">
        <v>16</v>
      </c>
      <c r="D22" s="425">
        <v>12160</v>
      </c>
      <c r="E22" s="224">
        <v>13135</v>
      </c>
      <c r="F22" s="225">
        <v>6044</v>
      </c>
      <c r="G22" s="225">
        <v>9793</v>
      </c>
      <c r="H22" s="182">
        <f t="shared" ref="H22:H33" si="0">(G22-F22)/F22</f>
        <v>0.62028457974851092</v>
      </c>
    </row>
    <row r="23" spans="3:8" ht="15.75" x14ac:dyDescent="0.25">
      <c r="C23" s="340" t="s">
        <v>17</v>
      </c>
      <c r="D23" s="425">
        <v>13058</v>
      </c>
      <c r="E23" s="226">
        <v>13732</v>
      </c>
      <c r="F23" s="227">
        <v>6916</v>
      </c>
      <c r="G23" s="227">
        <v>10997</v>
      </c>
      <c r="H23" s="182">
        <f t="shared" si="0"/>
        <v>0.59008097165991902</v>
      </c>
    </row>
    <row r="24" spans="3:8" ht="15.75" x14ac:dyDescent="0.25">
      <c r="C24" s="340" t="s">
        <v>18</v>
      </c>
      <c r="D24" s="425">
        <v>15513</v>
      </c>
      <c r="E24" s="226">
        <v>8607</v>
      </c>
      <c r="F24" s="227">
        <v>10064</v>
      </c>
      <c r="G24" s="227">
        <v>13097</v>
      </c>
      <c r="H24" s="182">
        <f>(G24-F24)/F24</f>
        <v>0.30137122416534179</v>
      </c>
    </row>
    <row r="25" spans="3:8" ht="15.75" x14ac:dyDescent="0.25">
      <c r="C25" s="340" t="s">
        <v>19</v>
      </c>
      <c r="D25" s="425">
        <v>13156</v>
      </c>
      <c r="E25" s="226">
        <v>875</v>
      </c>
      <c r="F25" s="227">
        <v>9483</v>
      </c>
      <c r="G25" s="227">
        <v>10345</v>
      </c>
      <c r="H25" s="182">
        <f t="shared" si="0"/>
        <v>9.0899504376252244E-2</v>
      </c>
    </row>
    <row r="26" spans="3:8" ht="15.75" x14ac:dyDescent="0.25">
      <c r="C26" s="340" t="s">
        <v>20</v>
      </c>
      <c r="D26" s="425">
        <v>13613</v>
      </c>
      <c r="E26" s="226">
        <v>2090</v>
      </c>
      <c r="F26" s="227">
        <v>11400</v>
      </c>
      <c r="G26" s="227">
        <v>12841</v>
      </c>
      <c r="H26" s="182">
        <f t="shared" si="0"/>
        <v>0.12640350877192982</v>
      </c>
    </row>
    <row r="27" spans="3:8" ht="15.75" x14ac:dyDescent="0.25">
      <c r="C27" s="340" t="s">
        <v>21</v>
      </c>
      <c r="D27" s="425">
        <v>14184</v>
      </c>
      <c r="E27" s="226">
        <v>4055</v>
      </c>
      <c r="F27" s="227">
        <v>12400</v>
      </c>
      <c r="G27" s="227">
        <v>11720</v>
      </c>
      <c r="H27" s="182">
        <f t="shared" si="0"/>
        <v>-5.4838709677419356E-2</v>
      </c>
    </row>
    <row r="28" spans="3:8" ht="15.75" x14ac:dyDescent="0.25">
      <c r="C28" s="340" t="s">
        <v>22</v>
      </c>
      <c r="D28" s="425">
        <v>16485</v>
      </c>
      <c r="E28" s="226">
        <v>6664</v>
      </c>
      <c r="F28" s="227">
        <v>13625</v>
      </c>
      <c r="G28" s="227">
        <v>11674</v>
      </c>
      <c r="H28" s="182">
        <f t="shared" si="0"/>
        <v>-0.14319266055045871</v>
      </c>
    </row>
    <row r="29" spans="3:8" ht="15.75" x14ac:dyDescent="0.25">
      <c r="C29" s="340" t="s">
        <v>23</v>
      </c>
      <c r="D29" s="425">
        <v>14979</v>
      </c>
      <c r="E29" s="226">
        <v>7823</v>
      </c>
      <c r="F29" s="227">
        <v>11515</v>
      </c>
      <c r="G29" s="227">
        <v>11815</v>
      </c>
      <c r="H29" s="182">
        <f t="shared" si="0"/>
        <v>2.6052974381241857E-2</v>
      </c>
    </row>
    <row r="30" spans="3:8" ht="15.75" x14ac:dyDescent="0.25">
      <c r="C30" s="340" t="s">
        <v>24</v>
      </c>
      <c r="D30" s="425">
        <v>12945</v>
      </c>
      <c r="E30" s="226">
        <v>7014</v>
      </c>
      <c r="F30" s="227">
        <v>10342</v>
      </c>
      <c r="G30" s="227">
        <v>12917</v>
      </c>
      <c r="H30" s="182">
        <f t="shared" si="0"/>
        <v>0.24898472249081416</v>
      </c>
    </row>
    <row r="31" spans="3:8" ht="15.75" x14ac:dyDescent="0.25">
      <c r="C31" s="340" t="s">
        <v>25</v>
      </c>
      <c r="D31" s="425">
        <v>15019</v>
      </c>
      <c r="E31" s="226">
        <v>8103</v>
      </c>
      <c r="F31" s="227">
        <v>12270</v>
      </c>
      <c r="G31" s="227">
        <v>13243</v>
      </c>
      <c r="H31" s="182">
        <f t="shared" si="0"/>
        <v>7.9299103504482479E-2</v>
      </c>
    </row>
    <row r="32" spans="3:8" ht="15.75" x14ac:dyDescent="0.25">
      <c r="C32" s="340" t="s">
        <v>26</v>
      </c>
      <c r="D32" s="425">
        <v>13982</v>
      </c>
      <c r="E32" s="226">
        <v>7245</v>
      </c>
      <c r="F32" s="227">
        <v>12086</v>
      </c>
      <c r="G32" s="227"/>
      <c r="H32" s="182">
        <f t="shared" si="0"/>
        <v>-1</v>
      </c>
    </row>
    <row r="33" spans="3:8" ht="16.5" thickBot="1" x14ac:dyDescent="0.3">
      <c r="C33" s="340" t="s">
        <v>27</v>
      </c>
      <c r="D33" s="425">
        <v>16085</v>
      </c>
      <c r="E33" s="228">
        <v>8235</v>
      </c>
      <c r="F33" s="229">
        <v>13297</v>
      </c>
      <c r="G33" s="229"/>
      <c r="H33" s="182">
        <f t="shared" si="0"/>
        <v>-1</v>
      </c>
    </row>
    <row r="34" spans="3:8" ht="16.5" thickBot="1" x14ac:dyDescent="0.3">
      <c r="C34" s="144" t="s">
        <v>31</v>
      </c>
      <c r="D34" s="230">
        <f>SUM(D22:D33)</f>
        <v>171179</v>
      </c>
      <c r="E34" s="230">
        <f>SUM(E22:E33)</f>
        <v>87578</v>
      </c>
      <c r="F34" s="230">
        <f>SUM(F22:F33)</f>
        <v>129442</v>
      </c>
      <c r="G34" s="230">
        <f>SUM(G22:G33)</f>
        <v>118442</v>
      </c>
      <c r="H34" s="191">
        <f>(G34-(F22+F23+F24+F25+F26+F27+F28+F29+F30+F31))/(F22+F23+F24+F25+F26+F27+F28+F29+F30+F31)</f>
        <v>0.13821966384454973</v>
      </c>
    </row>
  </sheetData>
  <mergeCells count="3">
    <mergeCell ref="C1:I1"/>
    <mergeCell ref="D20:H20"/>
    <mergeCell ref="D2:H2"/>
  </mergeCells>
  <pageMargins left="0.7" right="0.7" top="0.75" bottom="0.75" header="0.3" footer="0.3"/>
  <pageSetup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40"/>
  <sheetViews>
    <sheetView zoomScaleNormal="100" workbookViewId="0">
      <selection activeCell="F58" sqref="F58"/>
    </sheetView>
  </sheetViews>
  <sheetFormatPr defaultRowHeight="15" x14ac:dyDescent="0.25"/>
  <cols>
    <col min="1" max="1" width="9.5703125" customWidth="1"/>
    <col min="2" max="2" width="10.42578125" bestFit="1" customWidth="1"/>
    <col min="3" max="3" width="11" bestFit="1" customWidth="1"/>
    <col min="4" max="5" width="9.7109375" bestFit="1" customWidth="1"/>
    <col min="6" max="6" width="15.7109375" bestFit="1" customWidth="1"/>
    <col min="7" max="7" width="10.85546875" customWidth="1"/>
    <col min="8" max="8" width="12.7109375" bestFit="1" customWidth="1"/>
    <col min="9" max="9" width="9.140625" customWidth="1"/>
  </cols>
  <sheetData>
    <row r="2" spans="2:9" ht="23.25" x14ac:dyDescent="0.35">
      <c r="B2" s="506" t="s">
        <v>110</v>
      </c>
      <c r="C2" s="506"/>
      <c r="D2" s="506"/>
      <c r="E2" s="506"/>
      <c r="F2" s="506"/>
      <c r="G2" s="506"/>
      <c r="H2" s="506"/>
      <c r="I2" s="506"/>
    </row>
    <row r="3" spans="2:9" ht="23.25" x14ac:dyDescent="0.35">
      <c r="B3" s="507" t="s">
        <v>213</v>
      </c>
      <c r="C3" s="507"/>
      <c r="D3" s="507"/>
      <c r="E3" s="507"/>
      <c r="F3" s="507"/>
      <c r="G3" s="507"/>
      <c r="H3" s="507"/>
      <c r="I3" s="355"/>
    </row>
    <row r="24" spans="2:8" ht="15.75" thickBot="1" x14ac:dyDescent="0.3"/>
    <row r="25" spans="2:8" ht="16.5" thickBot="1" x14ac:dyDescent="0.3">
      <c r="B25" s="503" t="s">
        <v>29</v>
      </c>
      <c r="C25" s="505"/>
      <c r="D25" s="505"/>
      <c r="E25" s="505"/>
      <c r="F25" s="505"/>
      <c r="G25" s="503" t="s">
        <v>29</v>
      </c>
      <c r="H25" s="504"/>
    </row>
    <row r="26" spans="2:8" ht="16.5" thickBot="1" x14ac:dyDescent="0.3">
      <c r="B26" s="166" t="s">
        <v>30</v>
      </c>
      <c r="C26" s="169">
        <v>2019</v>
      </c>
      <c r="D26" s="169">
        <v>2020</v>
      </c>
      <c r="E26" s="168">
        <v>2021</v>
      </c>
      <c r="F26" s="190" t="s">
        <v>81</v>
      </c>
      <c r="G26" s="168">
        <v>2022</v>
      </c>
      <c r="H26" s="178" t="s">
        <v>81</v>
      </c>
    </row>
    <row r="27" spans="2:8" ht="15.75" x14ac:dyDescent="0.25">
      <c r="B27" s="223" t="s">
        <v>16</v>
      </c>
      <c r="C27" s="179">
        <v>11785</v>
      </c>
      <c r="D27" s="179">
        <v>12846</v>
      </c>
      <c r="E27" s="181">
        <v>5877</v>
      </c>
      <c r="F27" s="180">
        <f>(E27-D27)/D27</f>
        <v>-0.54250350303596451</v>
      </c>
      <c r="G27" s="181">
        <v>9557</v>
      </c>
      <c r="H27" s="182">
        <f t="shared" ref="H27" si="0">(G27-E27)/E27</f>
        <v>0.62616981453122345</v>
      </c>
    </row>
    <row r="28" spans="2:8" ht="15.75" x14ac:dyDescent="0.25">
      <c r="B28" s="156" t="s">
        <v>17</v>
      </c>
      <c r="C28" s="140">
        <v>12732</v>
      </c>
      <c r="D28" s="140">
        <v>13403</v>
      </c>
      <c r="E28" s="184">
        <v>6718</v>
      </c>
      <c r="F28" s="183">
        <f t="shared" ref="F28:F38" si="1">(E28-D28)/D28</f>
        <v>-0.49876893232858316</v>
      </c>
      <c r="G28" s="184">
        <v>10696</v>
      </c>
      <c r="H28" s="182">
        <f t="shared" ref="H28:H38" si="2">(G28-E28)/E28</f>
        <v>0.59214051801131284</v>
      </c>
    </row>
    <row r="29" spans="2:8" ht="15.75" x14ac:dyDescent="0.25">
      <c r="B29" s="156" t="s">
        <v>18</v>
      </c>
      <c r="C29" s="140">
        <v>15107</v>
      </c>
      <c r="D29" s="140">
        <v>8384</v>
      </c>
      <c r="E29" s="184">
        <v>9822</v>
      </c>
      <c r="F29" s="183">
        <f t="shared" si="1"/>
        <v>0.17151717557251908</v>
      </c>
      <c r="G29" s="184">
        <v>12903</v>
      </c>
      <c r="H29" s="182">
        <f t="shared" si="2"/>
        <v>0.31368356750152721</v>
      </c>
    </row>
    <row r="30" spans="2:8" ht="15.75" x14ac:dyDescent="0.25">
      <c r="B30" s="156" t="s">
        <v>19</v>
      </c>
      <c r="C30" s="140">
        <v>12743</v>
      </c>
      <c r="D30" s="140">
        <v>801</v>
      </c>
      <c r="E30" s="184">
        <v>9186</v>
      </c>
      <c r="F30" s="183">
        <f t="shared" si="1"/>
        <v>10.468164794007491</v>
      </c>
      <c r="G30" s="184">
        <v>10149</v>
      </c>
      <c r="H30" s="182">
        <f t="shared" si="2"/>
        <v>0.10483344219464402</v>
      </c>
    </row>
    <row r="31" spans="2:8" ht="15.75" x14ac:dyDescent="0.25">
      <c r="B31" s="156" t="s">
        <v>20</v>
      </c>
      <c r="C31" s="140">
        <v>13122</v>
      </c>
      <c r="D31" s="140">
        <v>1966</v>
      </c>
      <c r="E31" s="184">
        <v>11081</v>
      </c>
      <c r="F31" s="183">
        <f t="shared" si="1"/>
        <v>4.6363173957273656</v>
      </c>
      <c r="G31" s="184">
        <v>11977</v>
      </c>
      <c r="H31" s="182">
        <f t="shared" si="2"/>
        <v>8.0859128237523684E-2</v>
      </c>
    </row>
    <row r="32" spans="2:8" ht="15.75" x14ac:dyDescent="0.25">
      <c r="B32" s="156" t="s">
        <v>21</v>
      </c>
      <c r="C32" s="140">
        <v>13632</v>
      </c>
      <c r="D32" s="140">
        <v>3912</v>
      </c>
      <c r="E32" s="184">
        <v>12084</v>
      </c>
      <c r="F32" s="183">
        <f t="shared" si="1"/>
        <v>2.0889570552147241</v>
      </c>
      <c r="G32" s="184">
        <v>11373</v>
      </c>
      <c r="H32" s="182">
        <f t="shared" si="2"/>
        <v>-5.8838133068520357E-2</v>
      </c>
    </row>
    <row r="33" spans="2:8" ht="15.75" x14ac:dyDescent="0.25">
      <c r="B33" s="156" t="s">
        <v>22</v>
      </c>
      <c r="C33" s="140">
        <v>15954</v>
      </c>
      <c r="D33" s="140">
        <v>6511</v>
      </c>
      <c r="E33" s="184">
        <v>13289</v>
      </c>
      <c r="F33" s="183">
        <f t="shared" si="1"/>
        <v>1.041007525725695</v>
      </c>
      <c r="G33" s="184">
        <v>11346</v>
      </c>
      <c r="H33" s="182">
        <f t="shared" si="2"/>
        <v>-0.14621115208066823</v>
      </c>
    </row>
    <row r="34" spans="2:8" ht="15.75" x14ac:dyDescent="0.25">
      <c r="B34" s="156" t="s">
        <v>23</v>
      </c>
      <c r="C34" s="140">
        <v>14497</v>
      </c>
      <c r="D34" s="140">
        <v>7611</v>
      </c>
      <c r="E34" s="184">
        <v>11144</v>
      </c>
      <c r="F34" s="183">
        <f t="shared" si="1"/>
        <v>0.46419655761397977</v>
      </c>
      <c r="G34" s="184">
        <v>11466</v>
      </c>
      <c r="H34" s="182">
        <f t="shared" si="2"/>
        <v>2.8894472361809045E-2</v>
      </c>
    </row>
    <row r="35" spans="2:8" ht="15.75" x14ac:dyDescent="0.25">
      <c r="B35" s="156" t="s">
        <v>24</v>
      </c>
      <c r="C35" s="140">
        <v>12496</v>
      </c>
      <c r="D35" s="140">
        <v>6848</v>
      </c>
      <c r="E35" s="184">
        <v>10094</v>
      </c>
      <c r="F35" s="183">
        <f t="shared" si="1"/>
        <v>0.47400700934579437</v>
      </c>
      <c r="G35" s="184">
        <v>12593</v>
      </c>
      <c r="H35" s="182">
        <f t="shared" si="2"/>
        <v>0.24757281553398058</v>
      </c>
    </row>
    <row r="36" spans="2:8" ht="15.75" x14ac:dyDescent="0.25">
      <c r="B36" s="156" t="s">
        <v>25</v>
      </c>
      <c r="C36" s="140">
        <v>14589</v>
      </c>
      <c r="D36" s="140">
        <v>7867</v>
      </c>
      <c r="E36" s="184">
        <v>11975</v>
      </c>
      <c r="F36" s="183">
        <f t="shared" si="1"/>
        <v>0.52218126350578364</v>
      </c>
      <c r="G36" s="184">
        <v>12934</v>
      </c>
      <c r="H36" s="182">
        <f t="shared" si="2"/>
        <v>8.0083507306889359E-2</v>
      </c>
    </row>
    <row r="37" spans="2:8" ht="15.75" x14ac:dyDescent="0.25">
      <c r="B37" s="156" t="s">
        <v>26</v>
      </c>
      <c r="C37" s="140">
        <v>13613</v>
      </c>
      <c r="D37" s="140">
        <v>7067</v>
      </c>
      <c r="E37" s="184">
        <v>11834</v>
      </c>
      <c r="F37" s="183">
        <f t="shared" si="1"/>
        <v>0.67454365360124524</v>
      </c>
      <c r="G37" s="184"/>
      <c r="H37" s="182">
        <f t="shared" si="2"/>
        <v>-1</v>
      </c>
    </row>
    <row r="38" spans="2:8" ht="16.5" thickBot="1" x14ac:dyDescent="0.3">
      <c r="B38" s="167" t="s">
        <v>27</v>
      </c>
      <c r="C38" s="142">
        <v>15718</v>
      </c>
      <c r="D38" s="142">
        <v>8039</v>
      </c>
      <c r="E38" s="186">
        <v>13077</v>
      </c>
      <c r="F38" s="185">
        <f t="shared" si="1"/>
        <v>0.62669486254509266</v>
      </c>
      <c r="G38" s="186"/>
      <c r="H38" s="182">
        <f t="shared" si="2"/>
        <v>-1</v>
      </c>
    </row>
    <row r="39" spans="2:8" ht="16.5" thickBot="1" x14ac:dyDescent="0.3">
      <c r="B39" s="144" t="s">
        <v>31</v>
      </c>
      <c r="C39" s="147">
        <f>SUM(C27:C38)</f>
        <v>165988</v>
      </c>
      <c r="D39" s="147">
        <f>SUM(D27:D38)</f>
        <v>85255</v>
      </c>
      <c r="E39" s="147">
        <f>SUM(E27:E38)</f>
        <v>126181</v>
      </c>
      <c r="F39" s="188">
        <f>(E39-D39)/D39</f>
        <v>0.48004222626238929</v>
      </c>
      <c r="G39" s="231">
        <f>SUM(G27:G38)</f>
        <v>114994</v>
      </c>
      <c r="H39" s="191">
        <f>(G39-(E27+E28+E29+E30+E31+E32+E33+E34+E35+E36))/(E27+E28+E29+E30+E31+E32+E33+E34+E35+E36)</f>
        <v>0.13551890984496889</v>
      </c>
    </row>
    <row r="40" spans="2:8" ht="15.75" x14ac:dyDescent="0.25">
      <c r="B40" s="175"/>
      <c r="C40" s="175"/>
      <c r="D40" s="175"/>
      <c r="E40" s="175"/>
      <c r="F40" s="175"/>
      <c r="G40" s="176"/>
      <c r="H40" s="177"/>
    </row>
  </sheetData>
  <mergeCells count="4">
    <mergeCell ref="B2:I2"/>
    <mergeCell ref="B3:H3"/>
    <mergeCell ref="G25:H25"/>
    <mergeCell ref="B25:F25"/>
  </mergeCells>
  <pageMargins left="0.7" right="0.7" top="0.75" bottom="0.75" header="0.3" footer="0.3"/>
  <pageSetup scale="9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36"/>
  <sheetViews>
    <sheetView zoomScaleNormal="100" zoomScaleSheetLayoutView="80" workbookViewId="0">
      <selection activeCell="G36" sqref="G36:G37"/>
    </sheetView>
  </sheetViews>
  <sheetFormatPr defaultRowHeight="15" x14ac:dyDescent="0.25"/>
  <cols>
    <col min="2" max="5" width="13" customWidth="1"/>
    <col min="6" max="6" width="9.7109375" customWidth="1"/>
    <col min="7" max="7" width="11" bestFit="1" customWidth="1"/>
    <col min="8" max="10" width="13" customWidth="1"/>
  </cols>
  <sheetData>
    <row r="1" spans="2:10" ht="23.25" x14ac:dyDescent="0.35">
      <c r="B1" s="508" t="s">
        <v>111</v>
      </c>
      <c r="C1" s="508"/>
      <c r="D1" s="508"/>
      <c r="E1" s="508"/>
      <c r="F1" s="508"/>
      <c r="G1" s="508"/>
      <c r="H1" s="508"/>
      <c r="I1" s="508"/>
      <c r="J1" s="508"/>
    </row>
    <row r="2" spans="2:10" ht="23.25" x14ac:dyDescent="0.35">
      <c r="B2" s="509" t="s">
        <v>213</v>
      </c>
      <c r="C2" s="509"/>
      <c r="D2" s="509"/>
      <c r="E2" s="509"/>
      <c r="F2" s="509"/>
      <c r="G2" s="509"/>
      <c r="H2" s="509"/>
      <c r="I2" s="509"/>
      <c r="J2" s="509"/>
    </row>
    <row r="21" spans="2:10" ht="15.75" thickBot="1" x14ac:dyDescent="0.3"/>
    <row r="22" spans="2:10" ht="16.5" thickBot="1" x14ac:dyDescent="0.3">
      <c r="B22" s="220"/>
      <c r="C22" s="511">
        <v>2021</v>
      </c>
      <c r="D22" s="511"/>
      <c r="E22" s="511"/>
      <c r="F22" s="511"/>
      <c r="G22" s="510">
        <v>2022</v>
      </c>
      <c r="H22" s="511"/>
      <c r="I22" s="511"/>
      <c r="J22" s="512"/>
    </row>
    <row r="23" spans="2:10" ht="16.5" thickBot="1" x14ac:dyDescent="0.3">
      <c r="B23" s="338" t="s">
        <v>30</v>
      </c>
      <c r="C23" s="232" t="s">
        <v>32</v>
      </c>
      <c r="D23" s="150" t="s">
        <v>33</v>
      </c>
      <c r="E23" s="150" t="s">
        <v>34</v>
      </c>
      <c r="F23" s="343" t="s">
        <v>35</v>
      </c>
      <c r="G23" s="232" t="s">
        <v>32</v>
      </c>
      <c r="H23" s="150" t="s">
        <v>33</v>
      </c>
      <c r="I23" s="150" t="s">
        <v>34</v>
      </c>
      <c r="J23" s="178" t="s">
        <v>35</v>
      </c>
    </row>
    <row r="24" spans="2:10" ht="15.75" x14ac:dyDescent="0.25">
      <c r="B24" s="339" t="s">
        <v>16</v>
      </c>
      <c r="C24" s="344">
        <v>6044</v>
      </c>
      <c r="D24" s="233">
        <v>5877</v>
      </c>
      <c r="E24" s="234">
        <f>C24-D24</f>
        <v>167</v>
      </c>
      <c r="F24" s="345">
        <f>E24/C24</f>
        <v>2.7630708140304435E-2</v>
      </c>
      <c r="G24" s="235">
        <v>9793</v>
      </c>
      <c r="H24" s="236">
        <v>9557</v>
      </c>
      <c r="I24" s="236">
        <f>G24-H24</f>
        <v>236</v>
      </c>
      <c r="J24" s="315">
        <f t="shared" ref="J24:J33" si="0">I24/G24</f>
        <v>2.4098846114571634E-2</v>
      </c>
    </row>
    <row r="25" spans="2:10" ht="15.75" x14ac:dyDescent="0.25">
      <c r="B25" s="340" t="s">
        <v>17</v>
      </c>
      <c r="C25" s="346">
        <v>6916</v>
      </c>
      <c r="D25" s="237">
        <v>6718</v>
      </c>
      <c r="E25" s="238">
        <f t="shared" ref="E25:E35" si="1">C25-D25</f>
        <v>198</v>
      </c>
      <c r="F25" s="347">
        <f t="shared" ref="F25:F35" si="2">E25/C25</f>
        <v>2.8629265471370735E-2</v>
      </c>
      <c r="G25" s="239">
        <v>10997</v>
      </c>
      <c r="H25" s="240">
        <v>10696</v>
      </c>
      <c r="I25" s="240">
        <f t="shared" ref="I25:I35" si="3">G25-H25</f>
        <v>301</v>
      </c>
      <c r="J25" s="419">
        <f t="shared" si="0"/>
        <v>2.737110120942075E-2</v>
      </c>
    </row>
    <row r="26" spans="2:10" ht="15.75" x14ac:dyDescent="0.25">
      <c r="B26" s="340" t="s">
        <v>18</v>
      </c>
      <c r="C26" s="346">
        <v>10064</v>
      </c>
      <c r="D26" s="237">
        <v>9822</v>
      </c>
      <c r="E26" s="238">
        <f t="shared" si="1"/>
        <v>242</v>
      </c>
      <c r="F26" s="347">
        <f t="shared" si="2"/>
        <v>2.4046104928457868E-2</v>
      </c>
      <c r="G26" s="239">
        <v>13097</v>
      </c>
      <c r="H26" s="240">
        <v>12903</v>
      </c>
      <c r="I26" s="240">
        <f t="shared" si="3"/>
        <v>194</v>
      </c>
      <c r="J26" s="419">
        <f t="shared" si="0"/>
        <v>1.4812552492937314E-2</v>
      </c>
    </row>
    <row r="27" spans="2:10" ht="15.75" x14ac:dyDescent="0.25">
      <c r="B27" s="340" t="s">
        <v>19</v>
      </c>
      <c r="C27" s="346">
        <v>9483</v>
      </c>
      <c r="D27" s="237">
        <v>9186</v>
      </c>
      <c r="E27" s="238">
        <f t="shared" si="1"/>
        <v>297</v>
      </c>
      <c r="F27" s="347">
        <f t="shared" si="2"/>
        <v>3.1319202783929134E-2</v>
      </c>
      <c r="G27" s="239">
        <v>10345</v>
      </c>
      <c r="H27" s="240">
        <v>10149</v>
      </c>
      <c r="I27" s="240">
        <f t="shared" si="3"/>
        <v>196</v>
      </c>
      <c r="J27" s="419">
        <f t="shared" si="0"/>
        <v>1.8946350894151764E-2</v>
      </c>
    </row>
    <row r="28" spans="2:10" ht="15.75" x14ac:dyDescent="0.25">
      <c r="B28" s="340" t="s">
        <v>20</v>
      </c>
      <c r="C28" s="346">
        <v>11400</v>
      </c>
      <c r="D28" s="237">
        <v>11081</v>
      </c>
      <c r="E28" s="238">
        <f t="shared" si="1"/>
        <v>319</v>
      </c>
      <c r="F28" s="347">
        <f t="shared" si="2"/>
        <v>2.7982456140350876E-2</v>
      </c>
      <c r="G28" s="239">
        <v>12841</v>
      </c>
      <c r="H28" s="240">
        <v>11977</v>
      </c>
      <c r="I28" s="240">
        <f t="shared" si="3"/>
        <v>864</v>
      </c>
      <c r="J28" s="419">
        <f t="shared" si="0"/>
        <v>6.7284479401915745E-2</v>
      </c>
    </row>
    <row r="29" spans="2:10" ht="15.75" x14ac:dyDescent="0.25">
      <c r="B29" s="340" t="s">
        <v>21</v>
      </c>
      <c r="C29" s="346">
        <v>12400</v>
      </c>
      <c r="D29" s="237">
        <v>12084</v>
      </c>
      <c r="E29" s="238">
        <f t="shared" si="1"/>
        <v>316</v>
      </c>
      <c r="F29" s="347">
        <f t="shared" si="2"/>
        <v>2.5483870967741934E-2</v>
      </c>
      <c r="G29" s="239">
        <v>11720</v>
      </c>
      <c r="H29" s="240">
        <v>11373</v>
      </c>
      <c r="I29" s="240">
        <f t="shared" si="3"/>
        <v>347</v>
      </c>
      <c r="J29" s="419">
        <f t="shared" si="0"/>
        <v>2.9607508532423207E-2</v>
      </c>
    </row>
    <row r="30" spans="2:10" ht="15.75" x14ac:dyDescent="0.25">
      <c r="B30" s="340" t="s">
        <v>22</v>
      </c>
      <c r="C30" s="346">
        <v>13625</v>
      </c>
      <c r="D30" s="237">
        <v>13289</v>
      </c>
      <c r="E30" s="238">
        <f t="shared" si="1"/>
        <v>336</v>
      </c>
      <c r="F30" s="347">
        <f t="shared" si="2"/>
        <v>2.4660550458715597E-2</v>
      </c>
      <c r="G30" s="239">
        <v>11674</v>
      </c>
      <c r="H30" s="240">
        <v>11346</v>
      </c>
      <c r="I30" s="240">
        <f t="shared" si="3"/>
        <v>328</v>
      </c>
      <c r="J30" s="419">
        <f t="shared" si="0"/>
        <v>2.8096624978584891E-2</v>
      </c>
    </row>
    <row r="31" spans="2:10" ht="15.75" x14ac:dyDescent="0.25">
      <c r="B31" s="340" t="s">
        <v>23</v>
      </c>
      <c r="C31" s="346">
        <v>11515</v>
      </c>
      <c r="D31" s="237">
        <v>11144</v>
      </c>
      <c r="E31" s="238">
        <f t="shared" si="1"/>
        <v>371</v>
      </c>
      <c r="F31" s="347">
        <f t="shared" si="2"/>
        <v>3.2218844984802431E-2</v>
      </c>
      <c r="G31" s="239">
        <v>11815</v>
      </c>
      <c r="H31" s="240">
        <v>11466</v>
      </c>
      <c r="I31" s="240">
        <f t="shared" si="3"/>
        <v>349</v>
      </c>
      <c r="J31" s="419">
        <f t="shared" si="0"/>
        <v>2.9538721963605585E-2</v>
      </c>
    </row>
    <row r="32" spans="2:10" ht="15.75" x14ac:dyDescent="0.25">
      <c r="B32" s="340" t="s">
        <v>24</v>
      </c>
      <c r="C32" s="346">
        <v>10342</v>
      </c>
      <c r="D32" s="237">
        <v>10094</v>
      </c>
      <c r="E32" s="238">
        <f t="shared" si="1"/>
        <v>248</v>
      </c>
      <c r="F32" s="347">
        <f t="shared" si="2"/>
        <v>2.3979887836008507E-2</v>
      </c>
      <c r="G32" s="239">
        <v>12917</v>
      </c>
      <c r="H32" s="240">
        <v>12593</v>
      </c>
      <c r="I32" s="240">
        <f t="shared" si="3"/>
        <v>324</v>
      </c>
      <c r="J32" s="419">
        <f t="shared" si="0"/>
        <v>2.508322365874429E-2</v>
      </c>
    </row>
    <row r="33" spans="2:10" ht="15.75" x14ac:dyDescent="0.25">
      <c r="B33" s="340" t="s">
        <v>25</v>
      </c>
      <c r="C33" s="346">
        <v>12270</v>
      </c>
      <c r="D33" s="237">
        <v>11975</v>
      </c>
      <c r="E33" s="238">
        <f t="shared" si="1"/>
        <v>295</v>
      </c>
      <c r="F33" s="347">
        <f t="shared" si="2"/>
        <v>2.4042379788101059E-2</v>
      </c>
      <c r="G33" s="239">
        <v>13243</v>
      </c>
      <c r="H33" s="240">
        <v>12934</v>
      </c>
      <c r="I33" s="240">
        <f t="shared" si="3"/>
        <v>309</v>
      </c>
      <c r="J33" s="419">
        <f t="shared" si="0"/>
        <v>2.3333081628029901E-2</v>
      </c>
    </row>
    <row r="34" spans="2:10" ht="15.75" x14ac:dyDescent="0.25">
      <c r="B34" s="340" t="s">
        <v>26</v>
      </c>
      <c r="C34" s="346">
        <v>12086</v>
      </c>
      <c r="D34" s="237">
        <v>11834</v>
      </c>
      <c r="E34" s="238">
        <f t="shared" si="1"/>
        <v>252</v>
      </c>
      <c r="F34" s="347">
        <f t="shared" si="2"/>
        <v>2.0850570908489161E-2</v>
      </c>
      <c r="G34" s="239">
        <v>0</v>
      </c>
      <c r="H34" s="240">
        <v>0</v>
      </c>
      <c r="I34" s="240">
        <f t="shared" si="3"/>
        <v>0</v>
      </c>
      <c r="J34" s="416"/>
    </row>
    <row r="35" spans="2:10" ht="16.5" thickBot="1" x14ac:dyDescent="0.3">
      <c r="B35" s="341" t="s">
        <v>27</v>
      </c>
      <c r="C35" s="348">
        <v>13297</v>
      </c>
      <c r="D35" s="241">
        <v>13077</v>
      </c>
      <c r="E35" s="242">
        <f t="shared" si="1"/>
        <v>220</v>
      </c>
      <c r="F35" s="349">
        <f t="shared" si="2"/>
        <v>1.6545085357599458E-2</v>
      </c>
      <c r="G35" s="243">
        <v>0</v>
      </c>
      <c r="H35" s="244">
        <v>0</v>
      </c>
      <c r="I35" s="244">
        <f t="shared" si="3"/>
        <v>0</v>
      </c>
      <c r="J35" s="419"/>
    </row>
    <row r="36" spans="2:10" ht="16.5" thickBot="1" x14ac:dyDescent="0.3">
      <c r="B36" s="342" t="s">
        <v>31</v>
      </c>
      <c r="C36" s="350">
        <f>SUM(C24:C35)</f>
        <v>129442</v>
      </c>
      <c r="D36" s="245">
        <f>SUM(D24:D35)</f>
        <v>126181</v>
      </c>
      <c r="E36" s="246">
        <f>SUM(E24:E35)</f>
        <v>3261</v>
      </c>
      <c r="F36" s="314">
        <f>E36/C36</f>
        <v>2.5192750421037993E-2</v>
      </c>
      <c r="G36" s="247">
        <f>SUM(G24:G35)</f>
        <v>118442</v>
      </c>
      <c r="H36" s="248">
        <f>SUM(H24:H35)</f>
        <v>114994</v>
      </c>
      <c r="I36" s="248">
        <f>SUM(I24:I35)</f>
        <v>3448</v>
      </c>
      <c r="J36" s="314">
        <f>I36/G36</f>
        <v>2.9111294979821348E-2</v>
      </c>
    </row>
  </sheetData>
  <mergeCells count="4">
    <mergeCell ref="B1:J1"/>
    <mergeCell ref="B2:J2"/>
    <mergeCell ref="G22:J22"/>
    <mergeCell ref="C22:F22"/>
  </mergeCells>
  <pageMargins left="0.7" right="0.7" top="0.75" bottom="0.75" header="0.3" footer="0.3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6"/>
  <sheetViews>
    <sheetView topLeftCell="A7" zoomScaleNormal="100" workbookViewId="0">
      <selection activeCell="H36" sqref="H36"/>
    </sheetView>
  </sheetViews>
  <sheetFormatPr defaultRowHeight="15" x14ac:dyDescent="0.25"/>
  <cols>
    <col min="2" max="2" width="9.85546875" customWidth="1"/>
    <col min="3" max="5" width="11" bestFit="1" customWidth="1"/>
    <col min="6" max="6" width="13.7109375" customWidth="1"/>
    <col min="7" max="7" width="12.42578125" customWidth="1"/>
    <col min="8" max="8" width="12.85546875" customWidth="1"/>
  </cols>
  <sheetData>
    <row r="1" spans="2:8" ht="23.25" x14ac:dyDescent="0.35">
      <c r="B1" s="506" t="s">
        <v>112</v>
      </c>
      <c r="C1" s="506"/>
      <c r="D1" s="506"/>
      <c r="E1" s="506"/>
      <c r="F1" s="506"/>
      <c r="G1" s="506"/>
      <c r="H1" s="506"/>
    </row>
    <row r="2" spans="2:8" ht="23.25" x14ac:dyDescent="0.35">
      <c r="C2" s="513" t="s">
        <v>213</v>
      </c>
      <c r="D2" s="513"/>
      <c r="E2" s="513"/>
      <c r="F2" s="513"/>
      <c r="G2" s="513"/>
    </row>
    <row r="21" spans="2:8" ht="15.75" thickBot="1" x14ac:dyDescent="0.3"/>
    <row r="22" spans="2:8" ht="16.5" thickBot="1" x14ac:dyDescent="0.3">
      <c r="B22" s="503" t="s">
        <v>29</v>
      </c>
      <c r="C22" s="505"/>
      <c r="D22" s="505"/>
      <c r="E22" s="505"/>
      <c r="F22" s="504"/>
      <c r="G22" s="503" t="s">
        <v>29</v>
      </c>
      <c r="H22" s="504"/>
    </row>
    <row r="23" spans="2:8" ht="16.5" thickBot="1" x14ac:dyDescent="0.3">
      <c r="B23" s="338" t="s">
        <v>30</v>
      </c>
      <c r="C23" s="169">
        <v>2019</v>
      </c>
      <c r="D23" s="169">
        <v>2020</v>
      </c>
      <c r="E23" s="168">
        <v>2021</v>
      </c>
      <c r="F23" s="178" t="s">
        <v>81</v>
      </c>
      <c r="G23" s="168">
        <v>2022</v>
      </c>
      <c r="H23" s="178" t="s">
        <v>81</v>
      </c>
    </row>
    <row r="24" spans="2:8" ht="15.75" x14ac:dyDescent="0.25">
      <c r="B24" s="351" t="s">
        <v>16</v>
      </c>
      <c r="C24" s="179">
        <v>12034</v>
      </c>
      <c r="D24" s="179">
        <v>13018</v>
      </c>
      <c r="E24" s="181">
        <v>6752</v>
      </c>
      <c r="F24" s="182">
        <f>(E24-D24)/D24</f>
        <v>-0.48133353817790753</v>
      </c>
      <c r="G24" s="181">
        <v>9902</v>
      </c>
      <c r="H24" s="182">
        <f t="shared" ref="H24:H35" si="0">(G24-E24)/E24</f>
        <v>0.46652843601895733</v>
      </c>
    </row>
    <row r="25" spans="2:8" ht="15.75" x14ac:dyDescent="0.25">
      <c r="B25" s="340" t="s">
        <v>17</v>
      </c>
      <c r="C25" s="140">
        <v>12373</v>
      </c>
      <c r="D25" s="140">
        <v>13493</v>
      </c>
      <c r="E25" s="184">
        <v>6695</v>
      </c>
      <c r="F25" s="141">
        <f t="shared" ref="F25:F35" si="1">(E25-D25)/D25</f>
        <v>-0.50381679389312972</v>
      </c>
      <c r="G25" s="184">
        <v>10914</v>
      </c>
      <c r="H25" s="182">
        <f t="shared" si="0"/>
        <v>0.63017176997759528</v>
      </c>
    </row>
    <row r="26" spans="2:8" ht="15.75" x14ac:dyDescent="0.25">
      <c r="B26" s="340" t="s">
        <v>18</v>
      </c>
      <c r="C26" s="140">
        <v>15909</v>
      </c>
      <c r="D26" s="140">
        <v>11081</v>
      </c>
      <c r="E26" s="184">
        <v>10346</v>
      </c>
      <c r="F26" s="141">
        <f t="shared" si="1"/>
        <v>-6.6329753632343655E-2</v>
      </c>
      <c r="G26" s="184">
        <v>13566</v>
      </c>
      <c r="H26" s="182">
        <f t="shared" si="0"/>
        <v>0.31123139377537212</v>
      </c>
    </row>
    <row r="27" spans="2:8" ht="15.75" x14ac:dyDescent="0.25">
      <c r="B27" s="340" t="s">
        <v>19</v>
      </c>
      <c r="C27" s="140">
        <v>14092</v>
      </c>
      <c r="D27" s="140">
        <v>1100</v>
      </c>
      <c r="E27" s="184">
        <v>10192</v>
      </c>
      <c r="F27" s="141">
        <f t="shared" si="1"/>
        <v>8.2654545454545456</v>
      </c>
      <c r="G27" s="184">
        <v>10605</v>
      </c>
      <c r="H27" s="182">
        <f t="shared" si="0"/>
        <v>4.0521978021978024E-2</v>
      </c>
    </row>
    <row r="28" spans="2:8" ht="15.75" x14ac:dyDescent="0.25">
      <c r="B28" s="340" t="s">
        <v>20</v>
      </c>
      <c r="C28" s="140">
        <v>13509</v>
      </c>
      <c r="D28" s="140">
        <v>2487</v>
      </c>
      <c r="E28" s="184">
        <v>11783</v>
      </c>
      <c r="F28" s="141">
        <f t="shared" si="1"/>
        <v>3.7378367511057498</v>
      </c>
      <c r="G28" s="184">
        <v>13164</v>
      </c>
      <c r="H28" s="182">
        <f t="shared" si="0"/>
        <v>0.11720274972417891</v>
      </c>
    </row>
    <row r="29" spans="2:8" ht="15.75" x14ac:dyDescent="0.25">
      <c r="B29" s="340" t="s">
        <v>21</v>
      </c>
      <c r="C29" s="140">
        <v>15135</v>
      </c>
      <c r="D29" s="140">
        <v>4433</v>
      </c>
      <c r="E29" s="184">
        <v>13242</v>
      </c>
      <c r="F29" s="141">
        <f t="shared" si="1"/>
        <v>1.9871418903676967</v>
      </c>
      <c r="G29" s="184">
        <v>12010</v>
      </c>
      <c r="H29" s="182">
        <f t="shared" si="0"/>
        <v>-9.3037305542969337E-2</v>
      </c>
    </row>
    <row r="30" spans="2:8" ht="15.75" x14ac:dyDescent="0.25">
      <c r="B30" s="340" t="s">
        <v>22</v>
      </c>
      <c r="C30" s="140">
        <v>16289</v>
      </c>
      <c r="D30" s="140">
        <v>6559</v>
      </c>
      <c r="E30" s="184">
        <v>13876</v>
      </c>
      <c r="F30" s="141">
        <f t="shared" si="1"/>
        <v>1.1155663973166641</v>
      </c>
      <c r="G30" s="184">
        <v>12165</v>
      </c>
      <c r="H30" s="182">
        <f t="shared" si="0"/>
        <v>-0.1233064283655232</v>
      </c>
    </row>
    <row r="31" spans="2:8" ht="15.75" x14ac:dyDescent="0.25">
      <c r="B31" s="340" t="s">
        <v>23</v>
      </c>
      <c r="C31" s="140">
        <v>14890</v>
      </c>
      <c r="D31" s="140">
        <v>7967</v>
      </c>
      <c r="E31" s="184">
        <v>11540</v>
      </c>
      <c r="F31" s="141">
        <f t="shared" si="1"/>
        <v>0.44847495920672775</v>
      </c>
      <c r="G31" s="184">
        <v>12021</v>
      </c>
      <c r="H31" s="182">
        <f t="shared" si="0"/>
        <v>4.168110918544194E-2</v>
      </c>
    </row>
    <row r="32" spans="2:8" ht="15.75" x14ac:dyDescent="0.25">
      <c r="B32" s="340" t="s">
        <v>24</v>
      </c>
      <c r="C32" s="140">
        <v>13122</v>
      </c>
      <c r="D32" s="140">
        <v>6908</v>
      </c>
      <c r="E32" s="184">
        <v>10193</v>
      </c>
      <c r="F32" s="141">
        <f t="shared" si="1"/>
        <v>0.47553561088592938</v>
      </c>
      <c r="G32" s="184">
        <v>12797</v>
      </c>
      <c r="H32" s="182">
        <f t="shared" si="0"/>
        <v>0.25546943981163545</v>
      </c>
    </row>
    <row r="33" spans="2:8" ht="15.75" x14ac:dyDescent="0.25">
      <c r="B33" s="340" t="s">
        <v>25</v>
      </c>
      <c r="C33" s="140">
        <v>13904</v>
      </c>
      <c r="D33" s="140">
        <v>7608</v>
      </c>
      <c r="E33" s="184">
        <v>11681</v>
      </c>
      <c r="F33" s="141">
        <f t="shared" si="1"/>
        <v>0.53535751840168244</v>
      </c>
      <c r="G33" s="184">
        <v>12859</v>
      </c>
      <c r="H33" s="182">
        <f t="shared" si="0"/>
        <v>0.10084753017721086</v>
      </c>
    </row>
    <row r="34" spans="2:8" ht="15.75" x14ac:dyDescent="0.25">
      <c r="B34" s="340" t="s">
        <v>26</v>
      </c>
      <c r="C34" s="140">
        <v>13256</v>
      </c>
      <c r="D34" s="140">
        <v>6788</v>
      </c>
      <c r="E34" s="184">
        <v>11755</v>
      </c>
      <c r="F34" s="141">
        <f t="shared" si="1"/>
        <v>0.73173246906305245</v>
      </c>
      <c r="G34" s="184"/>
      <c r="H34" s="182">
        <f t="shared" si="0"/>
        <v>-1</v>
      </c>
    </row>
    <row r="35" spans="2:8" ht="16.5" thickBot="1" x14ac:dyDescent="0.3">
      <c r="B35" s="341" t="s">
        <v>27</v>
      </c>
      <c r="C35" s="142">
        <v>15462</v>
      </c>
      <c r="D35" s="142">
        <v>7416</v>
      </c>
      <c r="E35" s="186">
        <v>12486</v>
      </c>
      <c r="F35" s="143">
        <f t="shared" si="1"/>
        <v>0.68365695792880254</v>
      </c>
      <c r="G35" s="186"/>
      <c r="H35" s="182">
        <f t="shared" si="0"/>
        <v>-1</v>
      </c>
    </row>
    <row r="36" spans="2:8" ht="16.5" thickBot="1" x14ac:dyDescent="0.3">
      <c r="B36" s="342" t="s">
        <v>31</v>
      </c>
      <c r="C36" s="187">
        <f>SUM(C24:C35)</f>
        <v>169975</v>
      </c>
      <c r="D36" s="187">
        <f>SUM(D24:D35)</f>
        <v>88858</v>
      </c>
      <c r="E36" s="189">
        <f>SUM(E24:E35)</f>
        <v>130541</v>
      </c>
      <c r="F36" s="191">
        <f>(E36-D36)/D36</f>
        <v>0.46909676112449078</v>
      </c>
      <c r="G36" s="189">
        <v>70161</v>
      </c>
      <c r="H36" s="191">
        <f>(G36-(E24+E25+E26+E27+E28+E29+E30+E31+E32+E33))/(E24+E25+E26+E27+E28+E29+E30+E31+E32+E33)</f>
        <v>-0.3399717779868297</v>
      </c>
    </row>
  </sheetData>
  <mergeCells count="4">
    <mergeCell ref="B1:H1"/>
    <mergeCell ref="C2:G2"/>
    <mergeCell ref="G22:H22"/>
    <mergeCell ref="B22:F22"/>
  </mergeCells>
  <pageMargins left="1" right="1" top="1" bottom="1" header="0.5" footer="0.5"/>
  <pageSetup scale="8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34"/>
  <sheetViews>
    <sheetView zoomScaleNormal="100" workbookViewId="0">
      <selection activeCell="F48" sqref="F48"/>
    </sheetView>
  </sheetViews>
  <sheetFormatPr defaultRowHeight="15" x14ac:dyDescent="0.25"/>
  <cols>
    <col min="2" max="2" width="10.42578125" bestFit="1" customWidth="1"/>
    <col min="3" max="5" width="9.7109375" bestFit="1" customWidth="1"/>
    <col min="6" max="6" width="15.7109375" bestFit="1" customWidth="1"/>
    <col min="7" max="7" width="12" customWidth="1"/>
    <col min="8" max="8" width="12.7109375" customWidth="1"/>
  </cols>
  <sheetData>
    <row r="1" spans="2:8" ht="23.25" x14ac:dyDescent="0.35">
      <c r="B1" s="508" t="s">
        <v>113</v>
      </c>
      <c r="C1" s="508"/>
      <c r="D1" s="508"/>
      <c r="E1" s="508"/>
      <c r="F1" s="508"/>
      <c r="G1" s="508"/>
      <c r="H1" s="508"/>
    </row>
    <row r="2" spans="2:8" ht="23.25" x14ac:dyDescent="0.35">
      <c r="B2" s="513" t="s">
        <v>213</v>
      </c>
      <c r="C2" s="513"/>
      <c r="D2" s="513"/>
      <c r="E2" s="513"/>
      <c r="F2" s="513"/>
      <c r="G2" s="513"/>
      <c r="H2" s="513"/>
    </row>
    <row r="19" spans="2:11" ht="15.75" thickBot="1" x14ac:dyDescent="0.3"/>
    <row r="20" spans="2:11" ht="16.5" thickBot="1" x14ac:dyDescent="0.3">
      <c r="B20" s="503" t="s">
        <v>29</v>
      </c>
      <c r="C20" s="505"/>
      <c r="D20" s="505"/>
      <c r="E20" s="505"/>
      <c r="F20" s="505"/>
      <c r="G20" s="503" t="s">
        <v>29</v>
      </c>
      <c r="H20" s="504"/>
    </row>
    <row r="21" spans="2:11" ht="16.5" thickBot="1" x14ac:dyDescent="0.3">
      <c r="B21" s="338" t="s">
        <v>30</v>
      </c>
      <c r="C21" s="222">
        <v>2019</v>
      </c>
      <c r="D21" s="222">
        <v>2020</v>
      </c>
      <c r="E21" s="299">
        <v>2021</v>
      </c>
      <c r="F21" s="343" t="s">
        <v>81</v>
      </c>
      <c r="G21" s="299">
        <v>2022</v>
      </c>
      <c r="H21" s="178" t="s">
        <v>81</v>
      </c>
    </row>
    <row r="22" spans="2:11" ht="15.75" x14ac:dyDescent="0.25">
      <c r="B22" s="351" t="s">
        <v>16</v>
      </c>
      <c r="C22" s="179">
        <v>11693</v>
      </c>
      <c r="D22" s="179">
        <v>12737</v>
      </c>
      <c r="E22" s="181">
        <v>6595</v>
      </c>
      <c r="F22" s="182">
        <f>(E22-D22)/D22</f>
        <v>-0.48221716259715791</v>
      </c>
      <c r="G22" s="181">
        <v>9691</v>
      </c>
      <c r="H22" s="182">
        <f t="shared" ref="H22:H33" si="0">(G22-E22)/E22</f>
        <v>0.46944655041698258</v>
      </c>
    </row>
    <row r="23" spans="2:11" ht="15.75" x14ac:dyDescent="0.25">
      <c r="B23" s="340" t="s">
        <v>17</v>
      </c>
      <c r="C23" s="140">
        <v>12081</v>
      </c>
      <c r="D23" s="140">
        <v>13222</v>
      </c>
      <c r="E23" s="184">
        <v>6526</v>
      </c>
      <c r="F23" s="141">
        <f t="shared" ref="F23:F33" si="1">(E23-D23)/D23</f>
        <v>-0.50642867947360459</v>
      </c>
      <c r="G23" s="184">
        <v>10641</v>
      </c>
      <c r="H23" s="182">
        <f t="shared" si="0"/>
        <v>0.63055470425988358</v>
      </c>
    </row>
    <row r="24" spans="2:11" ht="15.75" x14ac:dyDescent="0.25">
      <c r="B24" s="340" t="s">
        <v>18</v>
      </c>
      <c r="C24" s="140">
        <v>15529</v>
      </c>
      <c r="D24" s="140">
        <v>10807</v>
      </c>
      <c r="E24" s="184">
        <v>10101</v>
      </c>
      <c r="F24" s="141">
        <f t="shared" si="1"/>
        <v>-6.5328028129915797E-2</v>
      </c>
      <c r="G24" s="184">
        <v>13367</v>
      </c>
      <c r="H24" s="182">
        <f t="shared" si="0"/>
        <v>0.32333432333432333</v>
      </c>
    </row>
    <row r="25" spans="2:11" ht="15.75" x14ac:dyDescent="0.25">
      <c r="B25" s="340" t="s">
        <v>19</v>
      </c>
      <c r="C25" s="140">
        <v>13672</v>
      </c>
      <c r="D25" s="140">
        <v>1036</v>
      </c>
      <c r="E25" s="184">
        <v>9925</v>
      </c>
      <c r="F25" s="141">
        <f t="shared" si="1"/>
        <v>8.5801158301158296</v>
      </c>
      <c r="G25" s="184">
        <v>10470</v>
      </c>
      <c r="H25" s="182">
        <f t="shared" si="0"/>
        <v>5.4911838790931991E-2</v>
      </c>
    </row>
    <row r="26" spans="2:11" ht="15.75" x14ac:dyDescent="0.25">
      <c r="B26" s="340" t="s">
        <v>20</v>
      </c>
      <c r="C26" s="140">
        <v>13111</v>
      </c>
      <c r="D26" s="140">
        <v>2372</v>
      </c>
      <c r="E26" s="184">
        <v>11458</v>
      </c>
      <c r="F26" s="141">
        <f t="shared" si="1"/>
        <v>3.8305227655986509</v>
      </c>
      <c r="G26" s="184">
        <v>12793</v>
      </c>
      <c r="H26" s="182">
        <f t="shared" si="0"/>
        <v>0.11651248036306511</v>
      </c>
    </row>
    <row r="27" spans="2:11" ht="15.75" x14ac:dyDescent="0.25">
      <c r="B27" s="340" t="s">
        <v>21</v>
      </c>
      <c r="C27" s="140">
        <v>14571</v>
      </c>
      <c r="D27" s="140">
        <v>4332</v>
      </c>
      <c r="E27" s="184">
        <v>12935</v>
      </c>
      <c r="F27" s="141">
        <f t="shared" si="1"/>
        <v>1.9859187442289936</v>
      </c>
      <c r="G27" s="184">
        <v>11633</v>
      </c>
      <c r="H27" s="182">
        <f t="shared" si="0"/>
        <v>-0.10065713181291071</v>
      </c>
    </row>
    <row r="28" spans="2:11" ht="15.75" x14ac:dyDescent="0.25">
      <c r="B28" s="340" t="s">
        <v>22</v>
      </c>
      <c r="C28" s="140">
        <v>15783</v>
      </c>
      <c r="D28" s="140">
        <v>6410</v>
      </c>
      <c r="E28" s="184">
        <v>13545</v>
      </c>
      <c r="F28" s="141">
        <f t="shared" si="1"/>
        <v>1.1131045241809672</v>
      </c>
      <c r="G28" s="184">
        <v>11850</v>
      </c>
      <c r="H28" s="182">
        <f t="shared" si="0"/>
        <v>-0.12513842746400886</v>
      </c>
    </row>
    <row r="29" spans="2:11" ht="15.75" x14ac:dyDescent="0.25">
      <c r="B29" s="340" t="s">
        <v>23</v>
      </c>
      <c r="C29" s="140">
        <v>14430</v>
      </c>
      <c r="D29" s="140">
        <v>7781</v>
      </c>
      <c r="E29" s="184">
        <v>11190</v>
      </c>
      <c r="F29" s="141">
        <f t="shared" si="1"/>
        <v>0.43811849376686801</v>
      </c>
      <c r="G29" s="184">
        <v>11659</v>
      </c>
      <c r="H29" s="182">
        <f t="shared" si="0"/>
        <v>4.1912421805183196E-2</v>
      </c>
    </row>
    <row r="30" spans="2:11" ht="15.75" x14ac:dyDescent="0.25">
      <c r="B30" s="340" t="s">
        <v>24</v>
      </c>
      <c r="C30" s="140">
        <v>12737</v>
      </c>
      <c r="D30" s="140">
        <v>6732</v>
      </c>
      <c r="E30" s="184">
        <v>9944</v>
      </c>
      <c r="F30" s="141">
        <f t="shared" si="1"/>
        <v>0.47712418300653597</v>
      </c>
      <c r="G30" s="184">
        <v>12494</v>
      </c>
      <c r="H30" s="182">
        <f t="shared" si="0"/>
        <v>0.25643604183427193</v>
      </c>
      <c r="K30" t="s">
        <v>163</v>
      </c>
    </row>
    <row r="31" spans="2:11" ht="15.75" x14ac:dyDescent="0.25">
      <c r="B31" s="340" t="s">
        <v>25</v>
      </c>
      <c r="C31" s="140">
        <v>13488</v>
      </c>
      <c r="D31" s="140">
        <v>7375</v>
      </c>
      <c r="E31" s="184">
        <v>11404</v>
      </c>
      <c r="F31" s="141">
        <f t="shared" si="1"/>
        <v>0.54630508474576267</v>
      </c>
      <c r="G31" s="184">
        <v>12532</v>
      </c>
      <c r="H31" s="182">
        <f t="shared" si="0"/>
        <v>9.8912662223781131E-2</v>
      </c>
    </row>
    <row r="32" spans="2:11" ht="15.75" x14ac:dyDescent="0.25">
      <c r="B32" s="340" t="s">
        <v>26</v>
      </c>
      <c r="C32" s="140">
        <v>12922</v>
      </c>
      <c r="D32" s="140">
        <v>6610</v>
      </c>
      <c r="E32" s="184">
        <v>11506</v>
      </c>
      <c r="F32" s="141">
        <f t="shared" si="1"/>
        <v>0.74069591527987899</v>
      </c>
      <c r="G32" s="184"/>
      <c r="H32" s="182">
        <f t="shared" si="0"/>
        <v>-1</v>
      </c>
    </row>
    <row r="33" spans="2:8" ht="16.5" thickBot="1" x14ac:dyDescent="0.3">
      <c r="B33" s="341" t="s">
        <v>27</v>
      </c>
      <c r="C33" s="142">
        <v>15100</v>
      </c>
      <c r="D33" s="142">
        <v>7219</v>
      </c>
      <c r="E33" s="186">
        <v>12270</v>
      </c>
      <c r="F33" s="143">
        <f t="shared" si="1"/>
        <v>0.69968139631527915</v>
      </c>
      <c r="G33" s="186"/>
      <c r="H33" s="182">
        <f t="shared" si="0"/>
        <v>-1</v>
      </c>
    </row>
    <row r="34" spans="2:8" ht="16.5" thickBot="1" x14ac:dyDescent="0.3">
      <c r="B34" s="342" t="s">
        <v>31</v>
      </c>
      <c r="C34" s="147">
        <f>SUM(C22:C33)</f>
        <v>165117</v>
      </c>
      <c r="D34" s="147">
        <f>SUM(D22:D33)</f>
        <v>86633</v>
      </c>
      <c r="E34" s="231">
        <f>SUM(E22:E33)</f>
        <v>127399</v>
      </c>
      <c r="F34" s="191">
        <f>(D34-C34)/C34</f>
        <v>-0.47532355844643498</v>
      </c>
      <c r="G34" s="231">
        <f>SUM(G22:G33)</f>
        <v>117130</v>
      </c>
      <c r="H34" s="191">
        <f>(G34-(E22+E23+E24+E25+E26+E27+E28+E29+E30+E31))/(E22+E23+E24+E25+E26+E27+E28+E29+E30+E31)</f>
        <v>0.13034750972274495</v>
      </c>
    </row>
  </sheetData>
  <mergeCells count="4">
    <mergeCell ref="B1:H1"/>
    <mergeCell ref="B2:H2"/>
    <mergeCell ref="B20:F20"/>
    <mergeCell ref="G20:H20"/>
  </mergeCells>
  <pageMargins left="1" right="1" top="1" bottom="1" header="0.5" footer="0.5"/>
  <pageSetup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T40"/>
  <sheetViews>
    <sheetView zoomScaleNormal="100" zoomScaleSheetLayoutView="85" workbookViewId="0">
      <selection activeCell="H42" sqref="H42"/>
    </sheetView>
  </sheetViews>
  <sheetFormatPr defaultRowHeight="15" x14ac:dyDescent="0.25"/>
  <cols>
    <col min="3" max="3" width="18.42578125" bestFit="1" customWidth="1"/>
    <col min="4" max="4" width="11.140625" bestFit="1" customWidth="1"/>
    <col min="7" max="7" width="11.140625" bestFit="1" customWidth="1"/>
    <col min="8" max="8" width="14.85546875" bestFit="1" customWidth="1"/>
    <col min="9" max="9" width="8.42578125" customWidth="1"/>
    <col min="11" max="11" width="5.140625" bestFit="1" customWidth="1"/>
    <col min="12" max="12" width="13.85546875" customWidth="1"/>
    <col min="13" max="13" width="11.140625" customWidth="1"/>
    <col min="14" max="14" width="11" customWidth="1"/>
    <col min="15" max="15" width="13.85546875" customWidth="1"/>
    <col min="16" max="16" width="11.140625" customWidth="1"/>
    <col min="17" max="17" width="11" customWidth="1"/>
    <col min="18" max="18" width="13.85546875" bestFit="1" customWidth="1"/>
    <col min="19" max="19" width="11.140625" bestFit="1" customWidth="1"/>
    <col min="20" max="20" width="11" bestFit="1" customWidth="1"/>
  </cols>
  <sheetData>
    <row r="1" spans="2:20" ht="48" customHeight="1" x14ac:dyDescent="0.35">
      <c r="B1" s="356"/>
      <c r="C1" s="517" t="s">
        <v>116</v>
      </c>
      <c r="D1" s="517"/>
      <c r="E1" s="517"/>
      <c r="F1" s="517"/>
      <c r="G1" s="517"/>
      <c r="H1" s="517"/>
      <c r="I1" s="357"/>
    </row>
    <row r="2" spans="2:20" ht="23.25" x14ac:dyDescent="0.35">
      <c r="B2" s="502" t="s">
        <v>213</v>
      </c>
      <c r="C2" s="502"/>
      <c r="D2" s="502"/>
      <c r="E2" s="502"/>
      <c r="F2" s="502"/>
      <c r="G2" s="502"/>
      <c r="H2" s="502"/>
      <c r="I2" s="354"/>
    </row>
    <row r="3" spans="2:20" x14ac:dyDescent="0.25">
      <c r="K3" s="10"/>
      <c r="L3" s="521"/>
      <c r="M3" s="521"/>
      <c r="N3" s="521"/>
      <c r="O3" s="521"/>
      <c r="P3" s="521"/>
      <c r="Q3" s="521"/>
      <c r="R3" s="1"/>
      <c r="S3" s="1"/>
      <c r="T3" s="1"/>
    </row>
    <row r="5" spans="2:20" x14ac:dyDescent="0.25">
      <c r="L5" s="450">
        <v>2019</v>
      </c>
      <c r="M5" s="451"/>
      <c r="N5" s="452"/>
      <c r="O5" s="514">
        <v>2020</v>
      </c>
      <c r="P5" s="515"/>
      <c r="Q5" s="516"/>
      <c r="R5" s="514">
        <v>2021</v>
      </c>
      <c r="S5" s="515"/>
      <c r="T5" s="516"/>
    </row>
    <row r="6" spans="2:20" x14ac:dyDescent="0.25">
      <c r="L6" s="9" t="s">
        <v>36</v>
      </c>
      <c r="M6" s="10" t="s">
        <v>37</v>
      </c>
      <c r="N6" s="11" t="s">
        <v>38</v>
      </c>
      <c r="O6" s="9" t="s">
        <v>36</v>
      </c>
      <c r="P6" s="10" t="s">
        <v>37</v>
      </c>
      <c r="Q6" s="11" t="s">
        <v>38</v>
      </c>
      <c r="R6" s="9" t="s">
        <v>36</v>
      </c>
      <c r="S6" s="10" t="s">
        <v>37</v>
      </c>
      <c r="T6" s="11" t="s">
        <v>38</v>
      </c>
    </row>
    <row r="7" spans="2:20" x14ac:dyDescent="0.25">
      <c r="K7" t="s">
        <v>0</v>
      </c>
      <c r="L7" s="2">
        <v>11785</v>
      </c>
      <c r="M7" s="3">
        <v>14546</v>
      </c>
      <c r="N7" s="4">
        <f>L7/M7</f>
        <v>0.81018836793620241</v>
      </c>
      <c r="O7" s="3">
        <v>12846</v>
      </c>
      <c r="P7" s="97">
        <v>16438</v>
      </c>
      <c r="Q7" s="4">
        <f>O7/P7</f>
        <v>0.78148193210852901</v>
      </c>
      <c r="R7" s="2">
        <v>5877</v>
      </c>
      <c r="S7" s="3">
        <v>12466</v>
      </c>
      <c r="T7" s="4">
        <f>R7/S7</f>
        <v>0.47144232311888334</v>
      </c>
    </row>
    <row r="8" spans="2:20" x14ac:dyDescent="0.25">
      <c r="K8" t="s">
        <v>1</v>
      </c>
      <c r="L8" s="2">
        <v>12732</v>
      </c>
      <c r="M8" s="3">
        <v>14949</v>
      </c>
      <c r="N8" s="82">
        <f t="shared" ref="N8:N15" si="0">L8/M8</f>
        <v>0.85169576560305038</v>
      </c>
      <c r="O8" s="3">
        <v>13403</v>
      </c>
      <c r="P8" s="97">
        <v>15828</v>
      </c>
      <c r="Q8" s="4">
        <f>O8/P8</f>
        <v>0.84679049785190796</v>
      </c>
      <c r="R8" s="2">
        <v>6718</v>
      </c>
      <c r="S8" s="3">
        <v>13246</v>
      </c>
      <c r="T8" s="4">
        <f t="shared" ref="T8:T18" si="1">R8/S8</f>
        <v>0.50717197644571943</v>
      </c>
    </row>
    <row r="9" spans="2:20" x14ac:dyDescent="0.25">
      <c r="K9" t="s">
        <v>2</v>
      </c>
      <c r="L9" s="2">
        <v>15107</v>
      </c>
      <c r="M9" s="3">
        <v>18573</v>
      </c>
      <c r="N9" s="82">
        <f t="shared" si="0"/>
        <v>0.81338502126743117</v>
      </c>
      <c r="O9" s="3">
        <v>8384</v>
      </c>
      <c r="P9" s="97">
        <v>16787</v>
      </c>
      <c r="Q9" s="4">
        <f>O9/P9</f>
        <v>0.49943408589980343</v>
      </c>
      <c r="R9" s="2">
        <v>9822</v>
      </c>
      <c r="S9" s="3">
        <v>17755</v>
      </c>
      <c r="T9" s="4">
        <f t="shared" si="1"/>
        <v>0.55319628273725707</v>
      </c>
    </row>
    <row r="10" spans="2:20" x14ac:dyDescent="0.25">
      <c r="K10" t="s">
        <v>3</v>
      </c>
      <c r="L10" s="2">
        <v>12743</v>
      </c>
      <c r="M10" s="6">
        <v>17004</v>
      </c>
      <c r="N10" s="4">
        <f t="shared" si="0"/>
        <v>0.74941190308162786</v>
      </c>
      <c r="O10" s="3">
        <v>801</v>
      </c>
      <c r="P10" s="97">
        <v>6199</v>
      </c>
      <c r="Q10" s="4">
        <f t="shared" ref="Q10:Q18" si="2">O10/P10</f>
        <v>0.12921438941764801</v>
      </c>
      <c r="R10" s="2">
        <v>9186</v>
      </c>
      <c r="S10" s="3">
        <v>16002</v>
      </c>
      <c r="T10" s="4">
        <f t="shared" si="1"/>
        <v>0.57405324334458196</v>
      </c>
    </row>
    <row r="11" spans="2:20" x14ac:dyDescent="0.25">
      <c r="K11" t="s">
        <v>4</v>
      </c>
      <c r="L11" s="81">
        <v>13122</v>
      </c>
      <c r="M11" s="88">
        <v>15110</v>
      </c>
      <c r="N11" s="4">
        <f t="shared" si="0"/>
        <v>0.8684315023163468</v>
      </c>
      <c r="O11" s="88">
        <v>1966</v>
      </c>
      <c r="P11" s="88">
        <v>6410</v>
      </c>
      <c r="Q11" s="4">
        <f t="shared" si="2"/>
        <v>0.30670826833073322</v>
      </c>
      <c r="R11" s="5">
        <v>11081</v>
      </c>
      <c r="S11" s="3">
        <v>13607</v>
      </c>
      <c r="T11" s="4">
        <f t="shared" si="1"/>
        <v>0.81436025575071658</v>
      </c>
    </row>
    <row r="12" spans="2:20" x14ac:dyDescent="0.25">
      <c r="K12" t="s">
        <v>5</v>
      </c>
      <c r="L12" s="5">
        <v>13632</v>
      </c>
      <c r="M12" s="6">
        <v>17747</v>
      </c>
      <c r="N12" s="82">
        <f t="shared" si="0"/>
        <v>0.76812982475911418</v>
      </c>
      <c r="O12" s="6">
        <v>3912</v>
      </c>
      <c r="P12" s="98">
        <v>8736</v>
      </c>
      <c r="Q12" s="4">
        <f t="shared" si="2"/>
        <v>0.44780219780219782</v>
      </c>
      <c r="R12" s="5">
        <v>12084</v>
      </c>
      <c r="S12" s="3">
        <v>17537</v>
      </c>
      <c r="T12" s="4">
        <f t="shared" si="1"/>
        <v>0.68905742145178761</v>
      </c>
    </row>
    <row r="13" spans="2:20" x14ac:dyDescent="0.25">
      <c r="K13" t="s">
        <v>6</v>
      </c>
      <c r="L13" s="5">
        <v>15954</v>
      </c>
      <c r="M13" s="6">
        <v>19198</v>
      </c>
      <c r="N13" s="4">
        <f t="shared" si="0"/>
        <v>0.83102406500677151</v>
      </c>
      <c r="O13" s="6">
        <v>6511</v>
      </c>
      <c r="P13" s="98">
        <v>11017</v>
      </c>
      <c r="Q13" s="4">
        <f t="shared" si="2"/>
        <v>0.5909957338658437</v>
      </c>
      <c r="R13" s="5">
        <v>13289</v>
      </c>
      <c r="S13" s="6">
        <v>18661</v>
      </c>
      <c r="T13" s="4">
        <f t="shared" si="1"/>
        <v>0.7121268956647554</v>
      </c>
    </row>
    <row r="14" spans="2:20" x14ac:dyDescent="0.25">
      <c r="K14" t="s">
        <v>7</v>
      </c>
      <c r="L14" s="5">
        <v>14497</v>
      </c>
      <c r="M14" s="6">
        <v>17298</v>
      </c>
      <c r="N14" s="4">
        <f t="shared" si="0"/>
        <v>0.83807376575326631</v>
      </c>
      <c r="O14" s="6">
        <v>7611</v>
      </c>
      <c r="P14" s="98">
        <v>15595</v>
      </c>
      <c r="Q14" s="4">
        <f t="shared" si="2"/>
        <v>0.4880410387944854</v>
      </c>
      <c r="R14" s="5">
        <v>11144</v>
      </c>
      <c r="S14" s="3">
        <v>16057</v>
      </c>
      <c r="T14" s="4">
        <f t="shared" si="1"/>
        <v>0.69402752693529302</v>
      </c>
    </row>
    <row r="15" spans="2:20" x14ac:dyDescent="0.25">
      <c r="K15" t="s">
        <v>8</v>
      </c>
      <c r="L15" s="5">
        <v>12496</v>
      </c>
      <c r="M15" s="6">
        <v>15672</v>
      </c>
      <c r="N15" s="4">
        <f t="shared" si="0"/>
        <v>0.79734558448187853</v>
      </c>
      <c r="O15" s="6">
        <v>6848</v>
      </c>
      <c r="P15" s="98">
        <v>14621</v>
      </c>
      <c r="Q15" s="4">
        <f t="shared" si="2"/>
        <v>0.46836741672936189</v>
      </c>
      <c r="R15" s="5">
        <v>10094</v>
      </c>
      <c r="S15" s="3">
        <v>14372</v>
      </c>
      <c r="T15" s="4">
        <f t="shared" si="1"/>
        <v>0.70233787920957413</v>
      </c>
    </row>
    <row r="16" spans="2:20" x14ac:dyDescent="0.25">
      <c r="K16" t="s">
        <v>9</v>
      </c>
      <c r="L16" s="5">
        <v>14589</v>
      </c>
      <c r="M16" s="6">
        <v>17269</v>
      </c>
      <c r="N16" s="7">
        <f>L16/M16</f>
        <v>0.84480861659621287</v>
      </c>
      <c r="O16" s="6">
        <v>7867</v>
      </c>
      <c r="P16" s="98">
        <v>18312</v>
      </c>
      <c r="Q16" s="4">
        <f t="shared" si="2"/>
        <v>0.42960899956312798</v>
      </c>
      <c r="R16" s="5">
        <v>11975</v>
      </c>
      <c r="S16" s="3">
        <v>15952</v>
      </c>
      <c r="T16" s="4">
        <f t="shared" si="1"/>
        <v>0.75068956870611836</v>
      </c>
    </row>
    <row r="17" spans="2:20" x14ac:dyDescent="0.25">
      <c r="K17" t="s">
        <v>10</v>
      </c>
      <c r="L17" s="5">
        <v>13613</v>
      </c>
      <c r="M17" s="6">
        <v>16749</v>
      </c>
      <c r="N17" s="82">
        <f t="shared" ref="N17" si="3">L17/M17</f>
        <v>0.81276494119051879</v>
      </c>
      <c r="O17" s="6">
        <v>7067</v>
      </c>
      <c r="P17" s="98">
        <v>17657</v>
      </c>
      <c r="Q17" s="4">
        <f t="shared" si="2"/>
        <v>0.40023786600215211</v>
      </c>
      <c r="R17" s="5">
        <v>11834</v>
      </c>
      <c r="S17" s="3">
        <v>15799</v>
      </c>
      <c r="T17" s="4">
        <f t="shared" si="1"/>
        <v>0.74903474903474898</v>
      </c>
    </row>
    <row r="18" spans="2:20" x14ac:dyDescent="0.25">
      <c r="K18" t="s">
        <v>11</v>
      </c>
      <c r="L18" s="8">
        <v>15718</v>
      </c>
      <c r="M18" s="95">
        <v>18468</v>
      </c>
      <c r="N18" s="96">
        <f>L18/M18</f>
        <v>0.85109378384232182</v>
      </c>
      <c r="O18" s="131">
        <v>8039</v>
      </c>
      <c r="P18" s="99">
        <v>14420</v>
      </c>
      <c r="Q18" s="66">
        <f t="shared" si="2"/>
        <v>0.55748959778085994</v>
      </c>
      <c r="R18" s="8">
        <v>13077</v>
      </c>
      <c r="S18" s="79">
        <v>15366</v>
      </c>
      <c r="T18" s="66">
        <f t="shared" si="1"/>
        <v>0.85103475204998047</v>
      </c>
    </row>
    <row r="19" spans="2:20" x14ac:dyDescent="0.25">
      <c r="K19" s="10"/>
      <c r="L19" s="514">
        <v>2022</v>
      </c>
      <c r="M19" s="515"/>
      <c r="N19" s="516"/>
    </row>
    <row r="20" spans="2:20" x14ac:dyDescent="0.25">
      <c r="K20" s="10"/>
      <c r="L20" s="9" t="s">
        <v>36</v>
      </c>
      <c r="M20" s="10" t="s">
        <v>37</v>
      </c>
      <c r="N20" s="11" t="s">
        <v>38</v>
      </c>
    </row>
    <row r="21" spans="2:20" x14ac:dyDescent="0.25">
      <c r="K21" t="s">
        <v>0</v>
      </c>
      <c r="L21" s="2">
        <v>9557</v>
      </c>
      <c r="M21" s="3">
        <v>13857</v>
      </c>
      <c r="N21" s="4">
        <f t="shared" ref="N21:N30" si="4">L21/M21</f>
        <v>0.6896875225517789</v>
      </c>
    </row>
    <row r="22" spans="2:20" x14ac:dyDescent="0.25">
      <c r="K22" t="s">
        <v>1</v>
      </c>
      <c r="L22" s="2">
        <v>10956</v>
      </c>
      <c r="M22" s="3">
        <v>14705</v>
      </c>
      <c r="N22" s="4">
        <f t="shared" si="4"/>
        <v>0.74505270316218974</v>
      </c>
    </row>
    <row r="23" spans="2:20" ht="15.75" thickBot="1" x14ac:dyDescent="0.3">
      <c r="K23" t="s">
        <v>2</v>
      </c>
      <c r="L23" s="2">
        <v>12903</v>
      </c>
      <c r="M23" s="3">
        <v>15073</v>
      </c>
      <c r="N23" s="4">
        <f t="shared" si="4"/>
        <v>0.85603396802229148</v>
      </c>
    </row>
    <row r="24" spans="2:20" ht="15.75" thickBot="1" x14ac:dyDescent="0.3">
      <c r="B24" s="17"/>
      <c r="C24" s="518" t="s">
        <v>39</v>
      </c>
      <c r="D24" s="519"/>
      <c r="E24" s="519"/>
      <c r="F24" s="519"/>
      <c r="G24" s="520"/>
      <c r="H24" s="352" t="s">
        <v>40</v>
      </c>
      <c r="I24" s="196"/>
      <c r="K24" t="s">
        <v>3</v>
      </c>
      <c r="L24" s="2">
        <v>10149</v>
      </c>
      <c r="M24" s="3">
        <v>12058</v>
      </c>
      <c r="N24" s="4">
        <f t="shared" si="4"/>
        <v>0.84168187095704095</v>
      </c>
    </row>
    <row r="25" spans="2:20" ht="15.75" thickBot="1" x14ac:dyDescent="0.3">
      <c r="B25" s="17"/>
      <c r="C25" s="353" t="s">
        <v>30</v>
      </c>
      <c r="D25" s="269">
        <v>2019</v>
      </c>
      <c r="E25" s="269">
        <v>2020</v>
      </c>
      <c r="F25" s="269">
        <v>2021</v>
      </c>
      <c r="G25" s="269">
        <v>2022</v>
      </c>
      <c r="H25" s="249" t="s">
        <v>175</v>
      </c>
      <c r="I25" s="196"/>
      <c r="K25" t="s">
        <v>4</v>
      </c>
      <c r="L25" s="2">
        <v>12504</v>
      </c>
      <c r="M25" s="3">
        <v>15856</v>
      </c>
      <c r="N25" s="4">
        <f t="shared" si="4"/>
        <v>0.78859737638748739</v>
      </c>
    </row>
    <row r="26" spans="2:20" x14ac:dyDescent="0.25">
      <c r="B26" s="17"/>
      <c r="C26" s="250" t="s">
        <v>16</v>
      </c>
      <c r="D26" s="251">
        <f>N7</f>
        <v>0.81018836793620241</v>
      </c>
      <c r="E26" s="251">
        <f>Q7</f>
        <v>0.78148193210852901</v>
      </c>
      <c r="F26" s="251">
        <f>T7</f>
        <v>0.47144232311888334</v>
      </c>
      <c r="G26" s="251">
        <f t="shared" ref="G26:G31" si="5">N21</f>
        <v>0.6896875225517789</v>
      </c>
      <c r="H26" s="252">
        <f>47.1-78.1</f>
        <v>-30.999999999999993</v>
      </c>
      <c r="I26" s="358"/>
      <c r="K26" t="s">
        <v>5</v>
      </c>
      <c r="L26" s="2">
        <v>11373</v>
      </c>
      <c r="M26" s="3">
        <v>14632</v>
      </c>
      <c r="N26" s="4">
        <f t="shared" si="4"/>
        <v>0.77726899945325312</v>
      </c>
    </row>
    <row r="27" spans="2:20" x14ac:dyDescent="0.25">
      <c r="B27" s="17"/>
      <c r="C27" s="253" t="s">
        <v>17</v>
      </c>
      <c r="D27" s="251">
        <f t="shared" ref="D27:D37" si="6">N8</f>
        <v>0.85169576560305038</v>
      </c>
      <c r="E27" s="251">
        <f t="shared" ref="E27:E37" si="7">Q8</f>
        <v>0.84679049785190796</v>
      </c>
      <c r="F27" s="251">
        <f t="shared" ref="F27:F37" si="8">T8</f>
        <v>0.50717197644571943</v>
      </c>
      <c r="G27" s="251">
        <f t="shared" si="5"/>
        <v>0.74505270316218974</v>
      </c>
      <c r="H27" s="254">
        <f>50.7-84.7</f>
        <v>-34</v>
      </c>
      <c r="I27" s="358"/>
      <c r="K27" t="s">
        <v>6</v>
      </c>
      <c r="L27" s="2">
        <v>11346</v>
      </c>
      <c r="M27" s="3">
        <v>14629</v>
      </c>
      <c r="N27" s="4">
        <f t="shared" si="4"/>
        <v>0.77558274659922077</v>
      </c>
    </row>
    <row r="28" spans="2:20" x14ac:dyDescent="0.25">
      <c r="B28" s="17"/>
      <c r="C28" s="253" t="s">
        <v>18</v>
      </c>
      <c r="D28" s="251">
        <f t="shared" si="6"/>
        <v>0.81338502126743117</v>
      </c>
      <c r="E28" s="251">
        <f t="shared" si="7"/>
        <v>0.49943408589980343</v>
      </c>
      <c r="F28" s="251">
        <f t="shared" si="8"/>
        <v>0.55319628273725707</v>
      </c>
      <c r="G28" s="251">
        <f t="shared" si="5"/>
        <v>0.85603396802229148</v>
      </c>
      <c r="H28" s="254">
        <f>55.3-49.9</f>
        <v>5.3999999999999986</v>
      </c>
      <c r="I28" s="358"/>
      <c r="K28" t="s">
        <v>7</v>
      </c>
      <c r="L28" s="2">
        <v>11466</v>
      </c>
      <c r="M28" s="3">
        <v>14521</v>
      </c>
      <c r="N28" s="4">
        <f t="shared" si="4"/>
        <v>0.78961504028648166</v>
      </c>
    </row>
    <row r="29" spans="2:20" x14ac:dyDescent="0.25">
      <c r="B29" s="17"/>
      <c r="C29" s="253" t="s">
        <v>19</v>
      </c>
      <c r="D29" s="251">
        <f t="shared" si="6"/>
        <v>0.74941190308162786</v>
      </c>
      <c r="E29" s="251">
        <f t="shared" si="7"/>
        <v>0.12921438941764801</v>
      </c>
      <c r="F29" s="251">
        <f t="shared" si="8"/>
        <v>0.57405324334458196</v>
      </c>
      <c r="G29" s="251">
        <f t="shared" si="5"/>
        <v>0.84168187095704095</v>
      </c>
      <c r="H29" s="252">
        <f>57.4-12.9</f>
        <v>44.5</v>
      </c>
      <c r="I29" s="358"/>
      <c r="K29" t="s">
        <v>8</v>
      </c>
      <c r="L29" s="2">
        <v>12593</v>
      </c>
      <c r="M29" s="3">
        <v>15524</v>
      </c>
      <c r="N29" s="4">
        <f t="shared" si="4"/>
        <v>0.81119556815253802</v>
      </c>
    </row>
    <row r="30" spans="2:20" x14ac:dyDescent="0.25">
      <c r="B30" s="17"/>
      <c r="C30" s="253" t="s">
        <v>20</v>
      </c>
      <c r="D30" s="251">
        <f t="shared" si="6"/>
        <v>0.8684315023163468</v>
      </c>
      <c r="E30" s="251">
        <f t="shared" si="7"/>
        <v>0.30670826833073322</v>
      </c>
      <c r="F30" s="251">
        <f t="shared" si="8"/>
        <v>0.81436025575071658</v>
      </c>
      <c r="G30" s="251">
        <f t="shared" si="5"/>
        <v>0.78859737638748739</v>
      </c>
      <c r="H30" s="254">
        <f>81.4-30.7</f>
        <v>50.7</v>
      </c>
      <c r="I30" s="358"/>
      <c r="K30" t="s">
        <v>9</v>
      </c>
      <c r="L30" s="2">
        <f>'Rev Enplaned'!G36</f>
        <v>12934</v>
      </c>
      <c r="M30" s="3">
        <v>15266</v>
      </c>
      <c r="N30" s="4">
        <f t="shared" si="4"/>
        <v>0.84724223765229922</v>
      </c>
    </row>
    <row r="31" spans="2:20" x14ac:dyDescent="0.25">
      <c r="B31" s="17"/>
      <c r="C31" s="253" t="s">
        <v>21</v>
      </c>
      <c r="D31" s="251">
        <f t="shared" si="6"/>
        <v>0.76812982475911418</v>
      </c>
      <c r="E31" s="251">
        <f t="shared" si="7"/>
        <v>0.44780219780219782</v>
      </c>
      <c r="F31" s="251">
        <f t="shared" si="8"/>
        <v>0.68905742145178761</v>
      </c>
      <c r="G31" s="251">
        <f t="shared" si="5"/>
        <v>0.77726899945325312</v>
      </c>
      <c r="H31" s="252">
        <f>68.9-44.8</f>
        <v>24.100000000000009</v>
      </c>
      <c r="I31" s="358"/>
      <c r="K31" t="s">
        <v>10</v>
      </c>
      <c r="L31" s="2"/>
      <c r="M31" s="3"/>
      <c r="N31" s="4"/>
    </row>
    <row r="32" spans="2:20" x14ac:dyDescent="0.25">
      <c r="B32" s="17"/>
      <c r="C32" s="253" t="s">
        <v>22</v>
      </c>
      <c r="D32" s="251">
        <f t="shared" si="6"/>
        <v>0.83102406500677151</v>
      </c>
      <c r="E32" s="251">
        <f t="shared" si="7"/>
        <v>0.5909957338658437</v>
      </c>
      <c r="F32" s="251">
        <f t="shared" si="8"/>
        <v>0.7121268956647554</v>
      </c>
      <c r="G32" s="251">
        <f>N27</f>
        <v>0.77558274659922077</v>
      </c>
      <c r="H32" s="254">
        <f>71.2-59.1</f>
        <v>12.100000000000001</v>
      </c>
      <c r="I32" s="358"/>
      <c r="K32" t="s">
        <v>11</v>
      </c>
      <c r="L32" s="455"/>
      <c r="M32" s="79"/>
      <c r="N32" s="66"/>
    </row>
    <row r="33" spans="2:11" x14ac:dyDescent="0.25">
      <c r="B33" s="17"/>
      <c r="C33" s="253" t="s">
        <v>23</v>
      </c>
      <c r="D33" s="251">
        <f t="shared" si="6"/>
        <v>0.83807376575326631</v>
      </c>
      <c r="E33" s="251">
        <f t="shared" si="7"/>
        <v>0.4880410387944854</v>
      </c>
      <c r="F33" s="251">
        <f t="shared" si="8"/>
        <v>0.69402752693529302</v>
      </c>
      <c r="G33" s="251">
        <f>N28</f>
        <v>0.78961504028648166</v>
      </c>
      <c r="H33" s="254">
        <f>69.4-48.8</f>
        <v>20.600000000000009</v>
      </c>
      <c r="I33" s="358"/>
      <c r="K33" s="10"/>
    </row>
    <row r="34" spans="2:11" x14ac:dyDescent="0.25">
      <c r="B34" s="17"/>
      <c r="C34" s="253" t="s">
        <v>24</v>
      </c>
      <c r="D34" s="251">
        <f t="shared" si="6"/>
        <v>0.79734558448187853</v>
      </c>
      <c r="E34" s="251">
        <f t="shared" si="7"/>
        <v>0.46836741672936189</v>
      </c>
      <c r="F34" s="251">
        <f t="shared" si="8"/>
        <v>0.70233787920957413</v>
      </c>
      <c r="G34" s="251">
        <f>N29</f>
        <v>0.81119556815253802</v>
      </c>
      <c r="H34" s="254">
        <f>70.2-46.8</f>
        <v>23.400000000000006</v>
      </c>
      <c r="I34" s="358"/>
      <c r="K34" s="10"/>
    </row>
    <row r="35" spans="2:11" x14ac:dyDescent="0.25">
      <c r="B35" s="17"/>
      <c r="C35" s="253" t="s">
        <v>25</v>
      </c>
      <c r="D35" s="251">
        <f t="shared" si="6"/>
        <v>0.84480861659621287</v>
      </c>
      <c r="E35" s="251">
        <f t="shared" si="7"/>
        <v>0.42960899956312798</v>
      </c>
      <c r="F35" s="251">
        <f t="shared" si="8"/>
        <v>0.75068956870611836</v>
      </c>
      <c r="G35" s="251">
        <f>N30</f>
        <v>0.84724223765229922</v>
      </c>
      <c r="H35" s="254">
        <f>75.1-43</f>
        <v>32.099999999999994</v>
      </c>
      <c r="I35" s="358"/>
    </row>
    <row r="36" spans="2:11" x14ac:dyDescent="0.25">
      <c r="B36" s="17"/>
      <c r="C36" s="253" t="s">
        <v>26</v>
      </c>
      <c r="D36" s="251">
        <f t="shared" si="6"/>
        <v>0.81276494119051879</v>
      </c>
      <c r="E36" s="251">
        <f t="shared" si="7"/>
        <v>0.40023786600215211</v>
      </c>
      <c r="F36" s="251">
        <f t="shared" si="8"/>
        <v>0.74903474903474898</v>
      </c>
      <c r="G36" s="251"/>
      <c r="H36" s="254">
        <f>74.9-40</f>
        <v>34.900000000000006</v>
      </c>
      <c r="I36" s="358"/>
    </row>
    <row r="37" spans="2:11" ht="15.75" thickBot="1" x14ac:dyDescent="0.3">
      <c r="B37" s="17"/>
      <c r="C37" s="300" t="s">
        <v>27</v>
      </c>
      <c r="D37" s="251">
        <f t="shared" si="6"/>
        <v>0.85109378384232182</v>
      </c>
      <c r="E37" s="251">
        <f t="shared" si="7"/>
        <v>0.55748959778085994</v>
      </c>
      <c r="F37" s="251">
        <f t="shared" si="8"/>
        <v>0.85103475204998047</v>
      </c>
      <c r="G37" s="251"/>
      <c r="H37" s="301">
        <f>85.1-55.7</f>
        <v>29.399999999999991</v>
      </c>
      <c r="I37" s="358"/>
    </row>
    <row r="38" spans="2:11" ht="15.75" thickBot="1" x14ac:dyDescent="0.3">
      <c r="B38" s="17"/>
      <c r="C38" s="302" t="s">
        <v>41</v>
      </c>
      <c r="D38" s="303">
        <f>AVERAGE(D26:D37)</f>
        <v>0.81969609515289532</v>
      </c>
      <c r="E38" s="304">
        <f>AVERAGE(E26:E37)</f>
        <v>0.49551433534555428</v>
      </c>
      <c r="F38" s="304">
        <f>AVERAGE(F26:F37)</f>
        <v>0.67237773953745139</v>
      </c>
      <c r="G38" s="304">
        <f>AVERAGE(G26:G37)</f>
        <v>0.79219580332245809</v>
      </c>
      <c r="H38" s="305">
        <f>AVERAGE(H26:H37)</f>
        <v>17.683333333333337</v>
      </c>
      <c r="I38" s="359"/>
    </row>
    <row r="39" spans="2:11" x14ac:dyDescent="0.25">
      <c r="B39" s="192"/>
    </row>
    <row r="40" spans="2:11" x14ac:dyDescent="0.25">
      <c r="B40" s="192"/>
    </row>
  </sheetData>
  <mergeCells count="8">
    <mergeCell ref="L19:N19"/>
    <mergeCell ref="C1:H1"/>
    <mergeCell ref="C24:G24"/>
    <mergeCell ref="R5:T5"/>
    <mergeCell ref="L3:N3"/>
    <mergeCell ref="O3:Q3"/>
    <mergeCell ref="B2:H2"/>
    <mergeCell ref="O5:Q5"/>
  </mergeCells>
  <pageMargins left="0.7" right="0.7" top="0.75" bottom="0.75" header="0.3" footer="0.3"/>
  <pageSetup scale="99" orientation="portrait" r:id="rId1"/>
  <colBreaks count="1" manualBreakCount="1">
    <brk id="10" max="4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9"/>
  <sheetViews>
    <sheetView topLeftCell="B1" zoomScale="120" zoomScaleNormal="120" zoomScaleSheetLayoutView="100" workbookViewId="0">
      <selection activeCell="C20" sqref="C20"/>
    </sheetView>
  </sheetViews>
  <sheetFormatPr defaultRowHeight="15" x14ac:dyDescent="0.25"/>
  <cols>
    <col min="2" max="2" width="12" customWidth="1"/>
    <col min="3" max="3" width="13.7109375" customWidth="1"/>
    <col min="4" max="4" width="13.85546875" customWidth="1"/>
    <col min="5" max="5" width="17.28515625" customWidth="1"/>
    <col min="6" max="6" width="17.42578125" customWidth="1"/>
    <col min="7" max="7" width="12.140625" customWidth="1"/>
    <col min="8" max="8" width="12.7109375" customWidth="1"/>
    <col min="9" max="9" width="18.140625" customWidth="1"/>
  </cols>
  <sheetData>
    <row r="1" spans="2:11" ht="23.25" x14ac:dyDescent="0.35">
      <c r="B1" s="508" t="s">
        <v>117</v>
      </c>
      <c r="C1" s="508"/>
      <c r="D1" s="508"/>
      <c r="E1" s="508"/>
      <c r="F1" s="508"/>
      <c r="G1" s="508"/>
      <c r="H1" s="508"/>
      <c r="I1" s="508"/>
      <c r="J1" s="52"/>
      <c r="K1" s="52"/>
    </row>
    <row r="2" spans="2:11" ht="26.25" x14ac:dyDescent="0.4">
      <c r="D2" s="522" t="s">
        <v>213</v>
      </c>
      <c r="E2" s="522"/>
      <c r="F2" s="522"/>
      <c r="G2" s="522"/>
    </row>
    <row r="3" spans="2:11" ht="15.75" thickBot="1" x14ac:dyDescent="0.3"/>
    <row r="4" spans="2:11" ht="30.75" thickBot="1" x14ac:dyDescent="0.3">
      <c r="B4" s="205" t="s">
        <v>42</v>
      </c>
      <c r="C4" s="206" t="s">
        <v>197</v>
      </c>
      <c r="D4" s="206" t="s">
        <v>169</v>
      </c>
      <c r="E4" s="206" t="s">
        <v>198</v>
      </c>
      <c r="F4" s="206" t="s">
        <v>170</v>
      </c>
      <c r="G4" s="206" t="s">
        <v>199</v>
      </c>
      <c r="H4" s="206" t="s">
        <v>171</v>
      </c>
      <c r="I4" s="207" t="s">
        <v>34</v>
      </c>
    </row>
    <row r="5" spans="2:11" x14ac:dyDescent="0.25">
      <c r="B5" s="210" t="s">
        <v>43</v>
      </c>
      <c r="C5" s="208">
        <v>3186</v>
      </c>
      <c r="D5" s="208">
        <v>3486</v>
      </c>
      <c r="E5" s="202">
        <v>3048</v>
      </c>
      <c r="F5" s="202">
        <v>2514</v>
      </c>
      <c r="G5" s="203">
        <f t="shared" ref="G5:H7" si="0">E5/C5</f>
        <v>0.95668549905838041</v>
      </c>
      <c r="H5" s="203">
        <f t="shared" si="0"/>
        <v>0.72117039586919107</v>
      </c>
      <c r="I5" s="204">
        <f>H5-G5</f>
        <v>-0.23551510318918933</v>
      </c>
    </row>
    <row r="6" spans="2:11" x14ac:dyDescent="0.25">
      <c r="B6" s="211" t="s">
        <v>44</v>
      </c>
      <c r="C6" s="209">
        <v>6884</v>
      </c>
      <c r="D6" s="209">
        <v>9616</v>
      </c>
      <c r="E6" s="200">
        <v>5665</v>
      </c>
      <c r="F6" s="200">
        <v>6925</v>
      </c>
      <c r="G6" s="201">
        <f t="shared" si="0"/>
        <v>0.82292271934921557</v>
      </c>
      <c r="H6" s="201">
        <f t="shared" si="0"/>
        <v>0.72015391014975039</v>
      </c>
      <c r="I6" s="204">
        <f t="shared" ref="I6:I7" si="1">H6-G6</f>
        <v>-0.10276880919946518</v>
      </c>
    </row>
    <row r="7" spans="2:11" x14ac:dyDescent="0.25">
      <c r="B7" s="211" t="s">
        <v>45</v>
      </c>
      <c r="C7" s="209">
        <v>4580</v>
      </c>
      <c r="D7" s="209">
        <v>2850</v>
      </c>
      <c r="E7" s="200">
        <v>3446</v>
      </c>
      <c r="F7" s="200">
        <v>2510</v>
      </c>
      <c r="G7" s="201">
        <f t="shared" si="0"/>
        <v>0.7524017467248908</v>
      </c>
      <c r="H7" s="201">
        <f t="shared" si="0"/>
        <v>0.88070175438596487</v>
      </c>
      <c r="I7" s="204">
        <f t="shared" si="1"/>
        <v>0.12830000766107408</v>
      </c>
    </row>
    <row r="8" spans="2:11" ht="15.75" thickBot="1" x14ac:dyDescent="0.3">
      <c r="B8" s="212" t="s">
        <v>46</v>
      </c>
      <c r="C8" s="213">
        <f>SUM(C5:C7)</f>
        <v>14650</v>
      </c>
      <c r="D8" s="213">
        <f>SUM(D5:D7)</f>
        <v>15952</v>
      </c>
      <c r="E8" s="214">
        <v>12934</v>
      </c>
      <c r="F8" s="214">
        <f>SUM(F5:F7)</f>
        <v>11949</v>
      </c>
      <c r="G8" s="334"/>
      <c r="H8" s="335"/>
      <c r="I8" s="336"/>
    </row>
    <row r="9" spans="2:11" ht="15.75" thickBot="1" x14ac:dyDescent="0.3">
      <c r="B9" s="215" t="s">
        <v>47</v>
      </c>
      <c r="C9" s="216">
        <f>AVERAGE(C5:C7)</f>
        <v>4883.333333333333</v>
      </c>
      <c r="D9" s="217">
        <f>AVERAGE(D5:D7)</f>
        <v>5317.333333333333</v>
      </c>
      <c r="E9" s="217">
        <f>AVERAGE(E5:E7)</f>
        <v>4053</v>
      </c>
      <c r="F9" s="217">
        <f>AVERAGE(F5:F7)</f>
        <v>3983</v>
      </c>
      <c r="G9" s="218">
        <f>E9/C9</f>
        <v>0.82996587030716729</v>
      </c>
      <c r="H9" s="218">
        <f>F9/D9</f>
        <v>0.74905967903711135</v>
      </c>
      <c r="I9" s="456">
        <f>H9-G9</f>
        <v>-8.0906191270055938E-2</v>
      </c>
    </row>
  </sheetData>
  <mergeCells count="2">
    <mergeCell ref="B1:I1"/>
    <mergeCell ref="D2:G2"/>
  </mergeCells>
  <pageMargins left="1" right="1" top="1" bottom="1" header="0.5" footer="0.5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City Comparison</vt:lpstr>
      <vt:lpstr>Total Pax</vt:lpstr>
      <vt:lpstr>Total Enplaned</vt:lpstr>
      <vt:lpstr>Rev Enplaned</vt:lpstr>
      <vt:lpstr>Non-Rev</vt:lpstr>
      <vt:lpstr>Deplaned Pax</vt:lpstr>
      <vt:lpstr>Rev Deplaned</vt:lpstr>
      <vt:lpstr>Monthly LF</vt:lpstr>
      <vt:lpstr>LF by Airline</vt:lpstr>
      <vt:lpstr>Monthly Seats</vt:lpstr>
      <vt:lpstr>Monthly Departures</vt:lpstr>
      <vt:lpstr>Air Carrier Market Share</vt:lpstr>
      <vt:lpstr>Tower Operations</vt:lpstr>
      <vt:lpstr>Car Rental</vt:lpstr>
      <vt:lpstr>Parking</vt:lpstr>
      <vt:lpstr>Charters</vt:lpstr>
      <vt:lpstr>US Customs</vt:lpstr>
      <vt:lpstr>Cargo</vt:lpstr>
      <vt:lpstr>Concessions</vt:lpstr>
      <vt:lpstr>Gal Comparison</vt:lpstr>
      <vt:lpstr>Fuel Fees</vt:lpstr>
      <vt:lpstr>'Air Carrier Market Share'!Print_Area</vt:lpstr>
      <vt:lpstr>'Car Rental'!Print_Area</vt:lpstr>
      <vt:lpstr>Cargo!Print_Area</vt:lpstr>
      <vt:lpstr>Charters!Print_Area</vt:lpstr>
      <vt:lpstr>'City Comparison'!Print_Area</vt:lpstr>
      <vt:lpstr>Concessions!Print_Area</vt:lpstr>
      <vt:lpstr>'Deplaned Pax'!Print_Area</vt:lpstr>
      <vt:lpstr>'Fuel Fees'!Print_Area</vt:lpstr>
      <vt:lpstr>'Gal Comparison'!Print_Area</vt:lpstr>
      <vt:lpstr>'LF by Airline'!Print_Area</vt:lpstr>
      <vt:lpstr>'Monthly Departures'!Print_Area</vt:lpstr>
      <vt:lpstr>'Monthly LF'!Print_Area</vt:lpstr>
      <vt:lpstr>'Monthly Seats'!Print_Area</vt:lpstr>
      <vt:lpstr>'Non-Rev'!Print_Area</vt:lpstr>
      <vt:lpstr>Parking!Print_Area</vt:lpstr>
      <vt:lpstr>'Rev Deplaned'!Print_Area</vt:lpstr>
      <vt:lpstr>'Rev Enplaned'!Print_Area</vt:lpstr>
      <vt:lpstr>'Total Pax'!Print_Area</vt:lpstr>
      <vt:lpstr>'Tower Operations'!Print_Area</vt:lpstr>
      <vt:lpstr>'US Customs'!Print_Area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Romanick</dc:creator>
  <cp:lastModifiedBy>Jessica Long</cp:lastModifiedBy>
  <cp:lastPrinted>2022-10-20T16:24:48Z</cp:lastPrinted>
  <dcterms:created xsi:type="dcterms:W3CDTF">2017-03-17T21:20:01Z</dcterms:created>
  <dcterms:modified xsi:type="dcterms:W3CDTF">2022-11-22T22:31:46Z</dcterms:modified>
</cp:coreProperties>
</file>